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6eOisxtHsApKgSSeNjKHUr5Bw5bEY/2924zPeVoJZfNpHNXk5Cfpjm/YzQzmdbe5JfsQ6QgFo6TazmOj1rM+w==" workbookSaltValue="dTDiNX/XEAhZvz9miV8pq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B20" i="13" s="1"/>
  <c r="BA16" i="13"/>
  <c r="AZ17" i="13"/>
  <c r="BD17" i="13" s="1"/>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20" i="17" s="1"/>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C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S14" i="12" s="1"/>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E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BF18" i="8" s="1"/>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P13" i="14"/>
  <c r="B20" i="7"/>
  <c r="AN20" i="17"/>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2" i="13"/>
  <c r="AW20" i="21"/>
  <c r="R14" i="12"/>
  <c r="BD11" i="13"/>
  <c r="AN21" i="13"/>
  <c r="D20" i="12"/>
  <c r="ER21" i="8"/>
  <c r="N19" i="11"/>
  <c r="AE14" i="21"/>
  <c r="EL21" i="8"/>
  <c r="EQ21" i="8"/>
  <c r="EN21" i="8"/>
  <c r="K20" i="11"/>
  <c r="BA14" i="16"/>
  <c r="N10" i="11"/>
  <c r="N9" i="11"/>
  <c r="B19" i="6"/>
  <c r="ES21" i="8"/>
  <c r="G20" i="12"/>
  <c r="AQ19" i="11"/>
  <c r="EP21" i="8"/>
  <c r="ER21" i="13"/>
  <c r="AL14" i="16"/>
  <c r="EP21" i="19"/>
  <c r="S14" i="16"/>
  <c r="P14" i="16"/>
  <c r="F18" i="17"/>
  <c r="AQ18" i="17" s="1"/>
  <c r="T14" i="12"/>
  <c r="T14" i="16"/>
  <c r="BF16" i="8"/>
  <c r="BD9" i="8"/>
  <c r="E14" i="17"/>
  <c r="AH14" i="16"/>
  <c r="T14" i="20"/>
  <c r="BG16" i="13"/>
  <c r="BE17" i="13"/>
  <c r="BF17" i="13"/>
  <c r="K22" i="20"/>
  <c r="Y22" i="20"/>
  <c r="AC22" i="20"/>
  <c r="AA22" i="20"/>
  <c r="U12" i="11"/>
  <c r="AQ22" i="21"/>
  <c r="U17" i="11"/>
  <c r="AQ22" i="20"/>
  <c r="G14" i="14"/>
  <c r="W22" i="20"/>
  <c r="U10" i="11"/>
  <c r="W22" i="21"/>
  <c r="AF22" i="20"/>
  <c r="U18" i="11"/>
  <c r="AL22" i="20"/>
  <c r="AE22" i="20"/>
  <c r="AG22" i="20"/>
  <c r="L22" i="20"/>
  <c r="M22" i="20"/>
  <c r="N22" i="20"/>
  <c r="AY20" i="8" l="1"/>
  <c r="AE21" i="8"/>
  <c r="AK21" i="8"/>
  <c r="R21" i="8"/>
  <c r="Z14" i="17"/>
  <c r="F14" i="7"/>
  <c r="M14" i="2"/>
  <c r="F13" i="2"/>
  <c r="N14" i="2"/>
  <c r="K20" i="2"/>
  <c r="H12" i="2"/>
  <c r="M20" i="2"/>
  <c r="N20" i="2"/>
  <c r="BG16" i="8"/>
  <c r="K16" i="7" s="1"/>
  <c r="AY14" i="8"/>
  <c r="AL16" i="11"/>
  <c r="F11" i="16"/>
  <c r="BL11" i="16" s="1"/>
  <c r="BD16" i="13"/>
  <c r="BG17" i="13"/>
  <c r="BE16" i="13"/>
  <c r="BF16" i="13"/>
  <c r="R8" i="9"/>
  <c r="T9" i="11" s="1"/>
  <c r="BH11" i="16"/>
  <c r="BH16" i="11"/>
  <c r="P18" i="17"/>
  <c r="AO16" i="17"/>
  <c r="V11" i="11"/>
  <c r="V9" i="11"/>
  <c r="BI18" i="11"/>
  <c r="R18" i="20"/>
  <c r="R20" i="20" s="1"/>
  <c r="AP18" i="20"/>
  <c r="BV18" i="16"/>
  <c r="BV12" i="16"/>
  <c r="BV11" i="16"/>
  <c r="BU9" i="17"/>
  <c r="BW10" i="20"/>
  <c r="S11" i="17"/>
  <c r="AA17" i="16"/>
  <c r="AZ12" i="11"/>
  <c r="X18" i="17"/>
  <c r="S16" i="14"/>
  <c r="V16" i="14" s="1"/>
  <c r="T18" i="11"/>
  <c r="X13" i="17"/>
  <c r="AA18" i="16"/>
  <c r="X11" i="17"/>
  <c r="V16" i="16"/>
  <c r="L16" i="2"/>
  <c r="R13" i="14"/>
  <c r="S13" i="14"/>
  <c r="V13" i="14" s="1"/>
  <c r="R10" i="14"/>
  <c r="R17" i="14"/>
  <c r="AM9" i="11"/>
  <c r="V13" i="16"/>
  <c r="X12" i="17"/>
  <c r="AA9" i="16"/>
  <c r="T18" i="20"/>
  <c r="X19" i="20"/>
  <c r="AA12" i="21"/>
  <c r="AZ18" i="11"/>
  <c r="X9" i="16"/>
  <c r="X21" i="16" s="1"/>
  <c r="X12" i="16"/>
  <c r="R13" i="17"/>
  <c r="I13" i="14"/>
  <c r="AO14" i="21"/>
  <c r="BB14" i="13"/>
  <c r="BE14" i="13" s="1"/>
  <c r="BD18" i="13"/>
  <c r="BE11" i="13"/>
  <c r="BI18" i="16"/>
  <c r="D10" i="6"/>
  <c r="I21" i="8"/>
  <c r="BF12" i="8"/>
  <c r="BG9" i="8"/>
  <c r="BG12" i="8"/>
  <c r="K12" i="7" s="1"/>
  <c r="BD16" i="8"/>
  <c r="H16" i="7" s="1"/>
  <c r="F18" i="16"/>
  <c r="BL18" i="16" s="1"/>
  <c r="J20" i="17"/>
  <c r="AL18" i="11"/>
  <c r="BE12" i="21"/>
  <c r="BE14" i="21" s="1"/>
  <c r="BE21" i="21" s="1"/>
  <c r="N13" i="11"/>
  <c r="C14" i="5"/>
  <c r="B18" i="6"/>
  <c r="AN18" i="11"/>
  <c r="E12" i="6"/>
  <c r="L17" i="14"/>
  <c r="AU20" i="21"/>
  <c r="AO14" i="20"/>
  <c r="AD21" i="19"/>
  <c r="AT20" i="20"/>
  <c r="AF14" i="21"/>
  <c r="AF21" i="21" s="1"/>
  <c r="BA20" i="13"/>
  <c r="Y21" i="13"/>
  <c r="BF9" i="13"/>
  <c r="BE12" i="13"/>
  <c r="S21" i="8"/>
  <c r="AC21" i="8"/>
  <c r="T21" i="8"/>
  <c r="BK21" i="8"/>
  <c r="BD12" i="8"/>
  <c r="H12" i="7" s="1"/>
  <c r="C20" i="7"/>
  <c r="AS14" i="8"/>
  <c r="H13" i="10"/>
  <c r="J10" i="2"/>
  <c r="J16" i="7"/>
  <c r="I12" i="3"/>
  <c r="E12" i="3"/>
  <c r="B9" i="6"/>
  <c r="H10" i="2"/>
  <c r="E17" i="6"/>
  <c r="AO18" i="11"/>
  <c r="AO16" i="11"/>
  <c r="AO18" i="17"/>
  <c r="BM21" i="8"/>
  <c r="C13" i="14"/>
  <c r="K13" i="14" s="1"/>
  <c r="C10" i="14"/>
  <c r="K10" i="14" s="1"/>
  <c r="J13" i="2"/>
  <c r="H9" i="7"/>
  <c r="E11" i="6"/>
  <c r="C12" i="6"/>
  <c r="C18" i="6"/>
  <c r="AN10" i="11"/>
  <c r="H18" i="2"/>
  <c r="T10" i="2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Y10" i="11"/>
  <c r="AA14" i="11"/>
  <c r="I16" i="3"/>
  <c r="J17" i="10"/>
  <c r="L17" i="10" s="1"/>
  <c r="J10" i="10"/>
  <c r="L10" i="10" s="1"/>
  <c r="J9" i="10"/>
  <c r="L9" i="10" s="1"/>
  <c r="J9" i="2"/>
  <c r="F9" i="2"/>
  <c r="AL10" i="11"/>
  <c r="E14" i="2"/>
  <c r="F14" i="2" s="1"/>
  <c r="E13" i="6"/>
  <c r="C13" i="6"/>
  <c r="AM13" i="11"/>
  <c r="B11" i="6"/>
  <c r="L11" i="14"/>
  <c r="AL11" i="11"/>
  <c r="AO11" i="11"/>
  <c r="AO9" i="11"/>
  <c r="G14" i="2"/>
  <c r="L12" i="14"/>
  <c r="E9" i="6"/>
  <c r="I9" i="7"/>
  <c r="J9" i="7"/>
  <c r="K9" i="7"/>
  <c r="K10" i="7"/>
  <c r="AO10" i="17"/>
  <c r="I20" i="2"/>
  <c r="B12" i="6"/>
  <c r="AL12" i="11"/>
  <c r="I14" i="2"/>
  <c r="J14" i="2" s="1"/>
  <c r="C11" i="6"/>
  <c r="AM11" i="11"/>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F12" i="21"/>
  <c r="C16" i="14"/>
  <c r="K16" i="14" s="1"/>
  <c r="D11" i="12"/>
  <c r="E12" i="12"/>
  <c r="E11" i="12"/>
  <c r="AC11" i="11"/>
  <c r="AC16" i="11"/>
  <c r="AP16" i="11"/>
  <c r="AV14" i="11"/>
  <c r="AB20" i="11"/>
  <c r="I20" i="11"/>
  <c r="D18" i="6"/>
  <c r="J18" i="12" s="1"/>
  <c r="AN13" i="11"/>
  <c r="B13" i="6"/>
  <c r="J13" i="7"/>
  <c r="H11" i="2"/>
  <c r="AN9" i="11"/>
  <c r="L9" i="14"/>
  <c r="AL17" i="11"/>
  <c r="AO17" i="11"/>
  <c r="D16" i="6"/>
  <c r="BI16" i="16"/>
  <c r="B16" i="6"/>
  <c r="E16" i="6"/>
  <c r="L16" i="14"/>
  <c r="C16" i="6"/>
  <c r="H18" i="7"/>
  <c r="J16" i="2"/>
  <c r="BE14" i="19"/>
  <c r="Q21" i="19"/>
  <c r="AF21" i="19"/>
  <c r="AN21" i="19"/>
  <c r="AM21" i="19"/>
  <c r="BI21" i="19"/>
  <c r="BB21" i="19"/>
  <c r="BC21" i="19"/>
  <c r="AL21" i="19"/>
  <c r="AR21" i="19"/>
  <c r="EL21" i="19"/>
  <c r="S21" i="19"/>
  <c r="AA21" i="19"/>
  <c r="AI21" i="19"/>
  <c r="BK21" i="19"/>
  <c r="CL21" i="19"/>
  <c r="AG14" i="21"/>
  <c r="AT10" i="21"/>
  <c r="ER21" i="19"/>
  <c r="AP21" i="19"/>
  <c r="X21" i="19"/>
  <c r="AY21" i="19"/>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I12" i="12" l="1"/>
  <c r="X14" i="17"/>
  <c r="AO13" i="17"/>
  <c r="AM12" i="11"/>
  <c r="AO9" i="17"/>
  <c r="V10" i="21"/>
  <c r="V14" i="21" s="1"/>
  <c r="V21" i="21" s="1"/>
  <c r="AM16" i="11"/>
  <c r="AO12" i="17"/>
  <c r="AP14" i="20"/>
  <c r="AM19" i="11"/>
  <c r="S13" i="17"/>
  <c r="V16" i="20"/>
  <c r="V20" i="20" s="1"/>
  <c r="L11" i="2"/>
  <c r="V19" i="16"/>
  <c r="U10" i="21"/>
  <c r="X18" i="20"/>
  <c r="AA11" i="16"/>
  <c r="X16" i="17"/>
  <c r="X17" i="17"/>
  <c r="T13" i="11"/>
  <c r="R19" i="14"/>
  <c r="R12" i="14"/>
  <c r="S18" i="14"/>
  <c r="V18" i="14" s="1"/>
  <c r="S10" i="14"/>
  <c r="V10" i="14" s="1"/>
  <c r="T19" i="20"/>
  <c r="L10" i="2"/>
  <c r="X17" i="20"/>
  <c r="X9" i="17"/>
  <c r="X10" i="17"/>
  <c r="AA10" i="16"/>
  <c r="T16" i="11"/>
  <c r="S16" i="16"/>
  <c r="S21" i="16" s="1"/>
  <c r="AZ11" i="11"/>
  <c r="AZ17" i="11"/>
  <c r="BU12" i="17"/>
  <c r="BU13" i="17"/>
  <c r="BU19" i="17"/>
  <c r="BW16" i="20"/>
  <c r="BW12" i="20"/>
  <c r="BU10" i="17"/>
  <c r="BU23" i="17" s="1"/>
  <c r="BU11" i="17"/>
  <c r="BK18" i="11"/>
  <c r="AZ13" i="11"/>
  <c r="BJ16" i="11"/>
  <c r="Q10" i="21"/>
  <c r="BL12" i="11"/>
  <c r="BK12" i="11"/>
  <c r="BH19" i="16"/>
  <c r="BF13" i="11"/>
  <c r="K17" i="12"/>
  <c r="K9" i="12"/>
  <c r="AP17" i="20"/>
  <c r="BL19" i="11"/>
  <c r="BK13" i="11"/>
  <c r="BG10" i="11"/>
  <c r="BM17" i="11"/>
  <c r="V11" i="16"/>
  <c r="BH19" i="11"/>
  <c r="BF10" i="11"/>
  <c r="Q10" i="11" s="1"/>
  <c r="AZ19" i="11"/>
  <c r="V12" i="21"/>
  <c r="V18" i="16"/>
  <c r="BK16" i="11"/>
  <c r="AP10" i="21"/>
  <c r="V13" i="11"/>
  <c r="BI16" i="11"/>
  <c r="BM13" i="11"/>
  <c r="AP16" i="20"/>
  <c r="BL11" i="11"/>
  <c r="BL13" i="11"/>
  <c r="BM16" i="11"/>
  <c r="T16" i="16"/>
  <c r="BV19" i="16"/>
  <c r="BV13" i="16"/>
  <c r="BV17" i="16"/>
  <c r="BV16" i="16"/>
  <c r="BW11" i="20"/>
  <c r="BV10" i="16"/>
  <c r="V12" i="16"/>
  <c r="BV9" i="16"/>
  <c r="AA16" i="16"/>
  <c r="T17" i="11"/>
  <c r="Q18" i="17"/>
  <c r="BH10" i="11"/>
  <c r="BI9" i="11"/>
  <c r="AQ10" i="21"/>
  <c r="S10" i="17"/>
  <c r="BH10" i="16"/>
  <c r="Q16" i="17"/>
  <c r="Q20" i="17" s="1"/>
  <c r="BM18" i="11"/>
  <c r="BF16" i="11"/>
  <c r="BH17" i="11"/>
  <c r="AQ12" i="21"/>
  <c r="BJ17" i="11"/>
  <c r="BL17" i="11"/>
  <c r="S17" i="17"/>
  <c r="L17" i="2"/>
  <c r="L13" i="2"/>
  <c r="X10" i="21"/>
  <c r="X16" i="16"/>
  <c r="X20" i="16" s="1"/>
  <c r="V10" i="16"/>
  <c r="X13" i="16"/>
  <c r="BH9" i="16"/>
  <c r="BL9" i="11"/>
  <c r="BH18" i="16"/>
  <c r="BH16" i="16"/>
  <c r="Q18" i="20"/>
  <c r="Q20" i="20" s="1"/>
  <c r="BF18" i="11"/>
  <c r="BK19" i="11"/>
  <c r="BK9" i="11"/>
  <c r="S9" i="17"/>
  <c r="BM12" i="11"/>
  <c r="S9" i="14"/>
  <c r="V9" i="14" s="1"/>
  <c r="BI19" i="11"/>
  <c r="BJ12" i="11"/>
  <c r="BG16" i="11"/>
  <c r="AQ14" i="21"/>
  <c r="BG19" i="11"/>
  <c r="T18" i="16"/>
  <c r="BU16" i="17"/>
  <c r="BW9" i="20"/>
  <c r="BW13" i="20"/>
  <c r="BW17" i="20"/>
  <c r="U13" i="17"/>
  <c r="U10" i="17"/>
  <c r="BU18" i="17"/>
  <c r="BU17" i="17"/>
  <c r="S11" i="14"/>
  <c r="V11" i="14" s="1"/>
  <c r="P16" i="17"/>
  <c r="P20" i="17" s="1"/>
  <c r="P21" i="17" s="1"/>
  <c r="BL16" i="11"/>
  <c r="P16" i="11" s="1"/>
  <c r="BJ10" i="11"/>
  <c r="BH11" i="11"/>
  <c r="S18" i="17"/>
  <c r="BH12" i="16"/>
  <c r="S16" i="17"/>
  <c r="X19" i="16"/>
  <c r="L19" i="2"/>
  <c r="L9" i="2"/>
  <c r="V9" i="16"/>
  <c r="BG12" i="11"/>
  <c r="BF12" i="11"/>
  <c r="BL10" i="11"/>
  <c r="BK17" i="11"/>
  <c r="BG17" i="11"/>
  <c r="BM9" i="11"/>
  <c r="BK10" i="11"/>
  <c r="L12" i="2"/>
  <c r="L18" i="2"/>
  <c r="U9" i="17"/>
  <c r="U21" i="17" s="1"/>
  <c r="T19" i="11"/>
  <c r="AO17" i="17"/>
  <c r="R11" i="14"/>
  <c r="S19" i="14"/>
  <c r="V19" i="14" s="1"/>
  <c r="BW18" i="20"/>
  <c r="BW19" i="20"/>
  <c r="AZ16" i="11"/>
  <c r="AZ20" i="11" s="1"/>
  <c r="AZ9" i="11"/>
  <c r="AZ21" i="11" s="1"/>
  <c r="BH18" i="11"/>
  <c r="BH13" i="11"/>
  <c r="BG9" i="11"/>
  <c r="R10" i="21"/>
  <c r="R14" i="21" s="1"/>
  <c r="BJ11" i="11"/>
  <c r="BH9" i="11"/>
  <c r="BI10" i="11"/>
  <c r="BK11" i="11"/>
  <c r="S18" i="16"/>
  <c r="S20" i="16" s="1"/>
  <c r="BF17" i="11"/>
  <c r="BL18" i="11"/>
  <c r="P18" i="11" s="1"/>
  <c r="BJ19" i="11"/>
  <c r="BF19" i="11"/>
  <c r="BJ18" i="11"/>
  <c r="V16" i="11"/>
  <c r="BF11" i="11"/>
  <c r="X12" i="21"/>
  <c r="T11" i="11"/>
  <c r="T12" i="11"/>
  <c r="R18" i="14"/>
  <c r="S17" i="14"/>
  <c r="V17" i="14" s="1"/>
  <c r="S12" i="14"/>
  <c r="V12" i="14" s="1"/>
  <c r="AZ14" i="11"/>
  <c r="I12" i="7"/>
  <c r="C14" i="6"/>
  <c r="AB21" i="21"/>
  <c r="H21" i="21"/>
  <c r="K19" i="12"/>
  <c r="I11" i="12"/>
  <c r="AV14" i="16"/>
  <c r="BG14" i="13"/>
  <c r="AK21" i="13"/>
  <c r="BC21" i="13"/>
  <c r="BD14" i="13"/>
  <c r="BM21" i="13"/>
  <c r="AD21" i="13"/>
  <c r="AI21" i="13"/>
  <c r="L21" i="13"/>
  <c r="N21" i="13"/>
  <c r="BD10" i="13"/>
  <c r="K16" i="12"/>
  <c r="K10" i="12"/>
  <c r="Q13" i="11"/>
  <c r="I9" i="12"/>
  <c r="BJ20" i="11"/>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AS14" i="11"/>
  <c r="AS20" i="11"/>
  <c r="E14" i="11"/>
  <c r="AH20" i="11"/>
  <c r="S14" i="11"/>
  <c r="T14" i="11" s="1"/>
  <c r="AI14" i="11"/>
  <c r="F20" i="11"/>
  <c r="AU14" i="11"/>
  <c r="AP18" i="11"/>
  <c r="AT14" i="11"/>
  <c r="AV20" i="11"/>
  <c r="R14" i="11"/>
  <c r="Y19" i="11"/>
  <c r="Z14" i="11"/>
  <c r="AD14" i="11"/>
  <c r="AF20" i="11"/>
  <c r="AF14"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J14" i="16"/>
  <c r="F9" i="16"/>
  <c r="BL9" i="16" s="1"/>
  <c r="AC20" i="16"/>
  <c r="BP23" i="16"/>
  <c r="AZ20" i="16"/>
  <c r="J20" i="16"/>
  <c r="BS20" i="16"/>
  <c r="AD14" i="16"/>
  <c r="AD21" i="16" s="1"/>
  <c r="Q14" i="16"/>
  <c r="X14" i="16"/>
  <c r="AS20" i="16"/>
  <c r="AZ14" i="16"/>
  <c r="AN21" i="16"/>
  <c r="AW21" i="11"/>
  <c r="Q17" i="11"/>
  <c r="Y13" i="11"/>
  <c r="Y14" i="11" s="1"/>
  <c r="AP13" i="11"/>
  <c r="AC17" i="11"/>
  <c r="K14" i="11"/>
  <c r="N20" i="11"/>
  <c r="Q20" i="11" s="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K12" i="12"/>
  <c r="AJ20" i="11"/>
  <c r="D20" i="5"/>
  <c r="F17" i="2"/>
  <c r="H17" i="2"/>
  <c r="J17" i="2"/>
  <c r="F14" i="3"/>
  <c r="E9" i="3"/>
  <c r="G9" i="3"/>
  <c r="AO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AJ14" i="21"/>
  <c r="F14" i="21"/>
  <c r="F21" i="21" s="1"/>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P9" i="11"/>
  <c r="AQ21" i="20"/>
  <c r="D11" i="6"/>
  <c r="J11" i="12" s="1"/>
  <c r="E11" i="3"/>
  <c r="R16" i="14"/>
  <c r="BH17" i="16"/>
  <c r="AM18" i="11"/>
  <c r="BI17" i="1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H22" i="17"/>
  <c r="J22" i="20"/>
  <c r="S22" i="20"/>
  <c r="AW22" i="11"/>
  <c r="AV22" i="21"/>
  <c r="BI20" i="11" l="1"/>
  <c r="P17" i="11"/>
  <c r="BK14" i="11"/>
  <c r="P12" i="11"/>
  <c r="BW23" i="20"/>
  <c r="T20" i="16"/>
  <c r="T21" i="16" s="1"/>
  <c r="BL20" i="11"/>
  <c r="BV20" i="16"/>
  <c r="Q16" i="11"/>
  <c r="P13" i="11"/>
  <c r="BK20" i="11"/>
  <c r="BK21" i="11" s="1"/>
  <c r="D21" i="14"/>
  <c r="S20" i="14"/>
  <c r="BH14" i="11"/>
  <c r="Q12" i="11"/>
  <c r="Q21" i="20"/>
  <c r="Q21" i="17"/>
  <c r="R21" i="21"/>
  <c r="Q9" i="1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X22" i="16"/>
  <c r="AB22" i="21"/>
  <c r="BS22" i="16"/>
  <c r="V22" i="20"/>
  <c r="BC22" i="16"/>
  <c r="Q22" i="11"/>
  <c r="AR22" i="16"/>
  <c r="BO22" i="16"/>
  <c r="J22" i="16"/>
  <c r="AF22" i="11"/>
  <c r="N22" i="21"/>
  <c r="U22" i="11"/>
  <c r="V22" i="21"/>
  <c r="AS22" i="21"/>
  <c r="V22" i="11"/>
  <c r="AQ22" i="16"/>
  <c r="M22" i="16"/>
  <c r="AL22" i="16"/>
  <c r="G22" i="12"/>
  <c r="BA22" i="16"/>
  <c r="AI22" i="21"/>
  <c r="H22" i="16"/>
  <c r="K22" i="12"/>
  <c r="AE22" i="17"/>
  <c r="M22" i="11"/>
  <c r="E22" i="11"/>
  <c r="I22" i="11"/>
  <c r="I22" i="21"/>
  <c r="BN22" i="16"/>
  <c r="D22" i="12"/>
  <c r="AP22" i="17"/>
  <c r="AG22" i="17"/>
  <c r="AU22" i="11"/>
  <c r="AH22" i="21"/>
  <c r="J22" i="11"/>
  <c r="T22" i="17"/>
  <c r="AV22" i="16"/>
  <c r="BH22" i="16"/>
  <c r="AI22" i="17"/>
  <c r="AZ22" i="11"/>
  <c r="Y22" i="21"/>
  <c r="J22" i="21"/>
  <c r="BC22" i="21"/>
  <c r="AC22" i="16"/>
  <c r="AD22" i="11"/>
  <c r="AC22" i="17"/>
  <c r="T22" i="11"/>
  <c r="J22" i="17"/>
  <c r="AV22" i="11"/>
  <c r="Z22" i="11"/>
  <c r="AE22" i="16"/>
  <c r="AN22" i="17"/>
  <c r="AO22" i="16"/>
  <c r="H22" i="21"/>
  <c r="BB22" i="16"/>
  <c r="K22" i="16"/>
  <c r="AA22" i="11"/>
  <c r="N22" i="11"/>
  <c r="AM22" i="17"/>
  <c r="BK22" i="16"/>
  <c r="AD22" i="16"/>
  <c r="X22" i="17"/>
  <c r="Y22" i="11"/>
  <c r="Z22" i="21"/>
  <c r="AJ22" i="11"/>
  <c r="AK22" i="17"/>
  <c r="BE22" i="21"/>
  <c r="AD22" i="21"/>
  <c r="O22" i="21"/>
  <c r="AZ22" i="16"/>
  <c r="AX22" i="16"/>
  <c r="AE22" i="11"/>
  <c r="Z22" i="17"/>
  <c r="V22" i="17"/>
  <c r="BD21" i="8" l="1"/>
  <c r="BM21" i="11"/>
  <c r="AT22" i="21"/>
  <c r="BL22" i="16"/>
  <c r="AQ22" i="17"/>
  <c r="AQ22" i="11"/>
  <c r="AP22" i="11"/>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<sst xmlns="http://schemas.openxmlformats.org/spreadsheetml/2006/main" count="2229" uniqueCount="979">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</sst>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SdLXMZdpVpVdgRQvDd9iHl0SPIpkdgyl+rn0/nS0dyiIgD4T4aIHp1CEwYPTzyIxBCm7AV9KuGYCA3N/LBJqXw==" saltValue="AGXST8OWeQk1aVJ4iZZt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SANT BOI DE LLOBREGAT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48</v>
      </c>
      <c r="D10" s="416">
        <f>IF(ISNUMBER(C10/Datos!BH10),C10/Datos!BH10," - ")</f>
        <v>48</v>
      </c>
      <c r="E10" s="415">
        <f>IF(ISNUMBER(Datos!J10),Datos!J10," - ")</f>
        <v>19</v>
      </c>
      <c r="F10" s="416">
        <f>IF(ISNUMBER(E10/B10),E10/B10," - ")</f>
        <v>19</v>
      </c>
      <c r="G10" s="415">
        <f>IF(ISNUMBER(Datos!K10),Datos!K10," - ")</f>
        <v>16</v>
      </c>
      <c r="H10" s="416">
        <f>IF(ISNUMBER(G10/B10),G10/B10," - ")</f>
        <v>16</v>
      </c>
      <c r="I10" s="415">
        <f>IF(ISNUMBER(Datos!L10),Datos!L10," - ")</f>
        <v>51</v>
      </c>
      <c r="J10" s="416">
        <f>IF(ISNUMBER(I10/B10),I10/B10," - ")</f>
        <v>51</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6</v>
      </c>
      <c r="C12" s="415">
        <f>IF(ISNUMBER(IF(J_V="SI",Datos!I12,Datos!I12+Datos!Y12)),IF(J_V="SI",Datos!I12,Datos!I12+Datos!Y12)," - ")</f>
        <v>3228</v>
      </c>
      <c r="D12" s="416">
        <f>IF(ISNUMBER(C12/Datos!BH12),C12/Datos!BH12," - ")</f>
        <v>538</v>
      </c>
      <c r="E12" s="415">
        <f>IF(ISNUMBER(IF(J_V="SI",Datos!J12,Datos!J12+Datos!Z12)),IF(J_V="SI",Datos!J12,Datos!J12+Datos!Z12)," - ")</f>
        <v>1929</v>
      </c>
      <c r="F12" s="416">
        <f>IF(ISNUMBER(E12/B12),E12/B12," - ")</f>
        <v>321.5</v>
      </c>
      <c r="G12" s="415">
        <f>IF(ISNUMBER(IF(J_V="SI",Datos!K12,Datos!K12+Datos!AA12)),IF(J_V="SI",Datos!K12,Datos!K12+Datos!AA12)," - ")</f>
        <v>1821</v>
      </c>
      <c r="H12" s="416">
        <f>IF(ISNUMBER(G12/B12),G12/B12," - ")</f>
        <v>303.5</v>
      </c>
      <c r="I12" s="415">
        <f>IF(ISNUMBER(IF(J_V="SI",Datos!L12,Datos!L12+Datos!AB12)),IF(J_V="SI",Datos!L12,Datos!L12+Datos!AB12)," - ")</f>
        <v>3336</v>
      </c>
      <c r="J12" s="416">
        <f>IF(ISNUMBER(I12/B12),I12/B12," - ")</f>
        <v>556</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6</v>
      </c>
      <c r="C14" s="996">
        <f>SUBTOTAL(9,C8:C13)</f>
        <v>3276</v>
      </c>
      <c r="D14" s="997" t="str">
        <f>IF(ISNUMBER(C14/Datos!BI14),C14/Datos!BI14," - ")</f>
        <v xml:space="preserve"> - </v>
      </c>
      <c r="E14" s="996">
        <f>SUBTOTAL(9,E8:E13)</f>
        <v>1948</v>
      </c>
      <c r="F14" s="997">
        <f>IF(ISNUMBER(E14/B14),E14/B14," - ")</f>
        <v>324.66666666666669</v>
      </c>
      <c r="G14" s="996">
        <f>SUBTOTAL(9,G8:G13)</f>
        <v>1837</v>
      </c>
      <c r="H14" s="997">
        <f>IF(ISNUMBER(G14/B14),G14/B14," - ")</f>
        <v>306.16666666666669</v>
      </c>
      <c r="I14" s="996">
        <f>SUBTOTAL(9,I8:I13)</f>
        <v>3387</v>
      </c>
      <c r="J14" s="997">
        <f>IF(ISNUMBER(I14/B14),I14/B14," - ")</f>
        <v>564.5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6</v>
      </c>
      <c r="C17" s="415">
        <f>IF(ISNUMBER(IF(D_I="SI",Datos!I17,Datos!I17+Datos!AC17)),IF(D_I="SI",Datos!I17,Datos!I17+Datos!AC17)," - ")</f>
        <v>1055</v>
      </c>
      <c r="D17" s="416">
        <f>IF(ISNUMBER(C17/Datos!BH17),C17/Datos!BH17," - ")</f>
        <v>175.83333333333334</v>
      </c>
      <c r="E17" s="415">
        <f>IF(ISNUMBER(IF(D_I="SI",Datos!J17,Datos!J17+Datos!AD17)),IF(D_I="SI",Datos!J17,Datos!J17+Datos!AD17)," - ")</f>
        <v>1510</v>
      </c>
      <c r="F17" s="416">
        <f>IF(ISNUMBER(E17/B17),E17/B17," - ")</f>
        <v>251.66666666666666</v>
      </c>
      <c r="G17" s="415">
        <f>IF(ISNUMBER(IF(D_I="SI",Datos!K17,Datos!K17+Datos!AE17)),IF(D_I="SI",Datos!K17,Datos!K17+Datos!AE17)," - ")</f>
        <v>1512</v>
      </c>
      <c r="H17" s="416">
        <f>IF(ISNUMBER(G17/B17),G17/B17," - ")</f>
        <v>252</v>
      </c>
      <c r="I17" s="415">
        <f>IF(ISNUMBER(IF(D_I="SI",Datos!L17,Datos!L17+Datos!AF17)),IF(D_I="SI",Datos!L17,Datos!L17+Datos!AF17)," - ")</f>
        <v>1053</v>
      </c>
      <c r="J17" s="416">
        <f>IF(ISNUMBER(I17/B17),I17/B17," - ")</f>
        <v>175.5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100</v>
      </c>
      <c r="D18" s="416">
        <f>IF(ISNUMBER(C18/Datos!BH18),C18/Datos!BH18," - ")</f>
        <v>100</v>
      </c>
      <c r="E18" s="415">
        <f>IF(ISNUMBER(IF(D_I="SI",Datos!J18,Datos!J18+Datos!AD18)),IF(D_I="SI",Datos!J18,Datos!J18+Datos!AD18)," - ")</f>
        <v>100</v>
      </c>
      <c r="F18" s="416">
        <f>IF(ISNUMBER(E18/B18),E18/B18," - ")</f>
        <v>100</v>
      </c>
      <c r="G18" s="415">
        <f>IF(ISNUMBER(IF(D_I="SI",Datos!K18,Datos!K18+Datos!AE18)),IF(D_I="SI",Datos!K18,Datos!K18+Datos!AE18)," - ")</f>
        <v>105</v>
      </c>
      <c r="H18" s="416">
        <f>IF(ISNUMBER(G18/B18),G18/B18," - ")</f>
        <v>105</v>
      </c>
      <c r="I18" s="415">
        <f>IF(ISNUMBER(IF(D_I="SI",Datos!L18,Datos!L18+Datos!AF18)),IF(D_I="SI",Datos!L18,Datos!L18+Datos!AF18)," - ")</f>
        <v>95</v>
      </c>
      <c r="J18" s="416">
        <f>IF(ISNUMBER(I18/B18),I18/B18," - ")</f>
        <v>95</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1155</v>
      </c>
      <c r="D20" s="997" t="str">
        <f>IF(ISNUMBER(C20/Datos!BI20),C20/Datos!BI20," - ")</f>
        <v xml:space="preserve"> - </v>
      </c>
      <c r="E20" s="996">
        <f>SUBTOTAL(9,E15:E19)</f>
        <v>1610</v>
      </c>
      <c r="F20" s="997">
        <f>IF(ISNUMBER(E20/B20),E20/B20," - ")</f>
        <v>268.33333333333331</v>
      </c>
      <c r="G20" s="996">
        <f>SUBTOTAL(9,G15:G19)</f>
        <v>1617</v>
      </c>
      <c r="H20" s="997">
        <f>IF(ISNUMBER(G20/B20),G20/B20," - ")</f>
        <v>269.5</v>
      </c>
      <c r="I20" s="996">
        <f>SUBTOTAL(9,I15:I19)</f>
        <v>1148</v>
      </c>
      <c r="J20" s="997">
        <f>IF(ISNUMBER(I20/B20),I20/B20," - ")</f>
        <v>191.33333333333334</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6</v>
      </c>
      <c r="C21" s="941">
        <f>SUBTOTAL(9,C9:C20)</f>
        <v>4431</v>
      </c>
      <c r="D21" s="942" t="str">
        <f>IF(ISNUMBER(C21/Datos!BI21),C21/Datos!BI21," - ")</f>
        <v xml:space="preserve"> - </v>
      </c>
      <c r="E21" s="941">
        <f>SUBTOTAL(9,E9:E20)</f>
        <v>3558</v>
      </c>
      <c r="F21" s="942">
        <f>IF(ISNUMBER(E21/B21),E21/B21," - ")</f>
        <v>593</v>
      </c>
      <c r="G21" s="941">
        <f>SUBTOTAL(9,G9:G20)</f>
        <v>3454</v>
      </c>
      <c r="H21" s="942">
        <f>IF(ISNUMBER(G21/B21),G21/B21," - ")</f>
        <v>575.66666666666663</v>
      </c>
      <c r="I21" s="941">
        <f>SUBTOTAL(9,I9:I20)</f>
        <v>4535</v>
      </c>
      <c r="J21" s="942">
        <f>IF(ISNUMBER(I21/B21),I21/B21," - ")</f>
        <v>755.83333333333337</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KChoA8BvCwbge3Kr9KuRmNC93GyhsU1WoN6IrZB2Rjj/DPCgn0UgG4dmpoTpA/iwfECTFkWQAEARtiquijdP0w==" saltValue="ll7DRpF/ozxETd3dkkBzg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SANT BOI DE LLOBREGAT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6</v>
      </c>
      <c r="D12" s="415">
        <f>Datos!BK12</f>
        <v>0</v>
      </c>
      <c r="E12" s="415">
        <f>Datos!AQ12</f>
        <v>6</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6</v>
      </c>
      <c r="D17" s="415">
        <f>Datos!BK17</f>
        <v>0</v>
      </c>
      <c r="E17" s="415">
        <f>Datos!AQ17</f>
        <v>6</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1048P3d1oSegJWecaA/g/As7FTSd1YMjeZ6R6QIKOCqUgZnP78c6M8eUCd0GUoP41sWj/Yw6W51JOHDXjMZKWg==" saltValue="DqtOb4Ngc7ix7LijXe2h2g=="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SANT BOI DE LLOBREGAT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8</v>
      </c>
      <c r="E10" s="416">
        <f>IF(ISNUMBER(D10/B10),D10/B10," - ")</f>
        <v>8</v>
      </c>
      <c r="F10" s="415">
        <f>IF(ISNUMBER(Datos!N10),Datos!N10," - ")</f>
        <v>5</v>
      </c>
      <c r="G10" s="416">
        <f>IF(ISNUMBER(F10/B10),F10/B10," - ")</f>
        <v>5</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6</v>
      </c>
      <c r="C12" s="422">
        <f>Datos!AQ12</f>
        <v>6</v>
      </c>
      <c r="D12" s="415">
        <f>IF(ISNUMBER(Datos!M12),Datos!M12," - ")</f>
        <v>359</v>
      </c>
      <c r="E12" s="416">
        <f t="shared" si="0"/>
        <v>59.833333333333336</v>
      </c>
      <c r="F12" s="415">
        <f>IF(ISNUMBER(Datos!N12),Datos!N12," - ")</f>
        <v>868</v>
      </c>
      <c r="G12" s="416">
        <f t="shared" si="1"/>
        <v>144.66666666666666</v>
      </c>
      <c r="H12" s="415">
        <f>IF(ISNUMBER(Datos!O12),Datos!O12," - ")</f>
        <v>645</v>
      </c>
      <c r="I12" s="416">
        <f t="shared" si="2"/>
        <v>107.5</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7</v>
      </c>
      <c r="C14" s="998">
        <f>Datos!AR14</f>
        <v>6</v>
      </c>
      <c r="D14" s="996">
        <f>SUBTOTAL(9,D9:D13)</f>
        <v>367</v>
      </c>
      <c r="E14" s="997">
        <f t="shared" si="0"/>
        <v>52.428571428571431</v>
      </c>
      <c r="F14" s="996">
        <f>SUBTOTAL(9,F9:F13)</f>
        <v>873</v>
      </c>
      <c r="G14" s="997">
        <f t="shared" si="1"/>
        <v>124.71428571428571</v>
      </c>
      <c r="H14" s="996">
        <f>SUBTOTAL(9,H9:H13)</f>
        <v>645</v>
      </c>
      <c r="I14" s="997">
        <f>IF(ISNUMBER(H14/B14),H14/B14," - ")</f>
        <v>92.142857142857139</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6</v>
      </c>
      <c r="C17" s="445">
        <f>Datos!AQ17</f>
        <v>6</v>
      </c>
      <c r="D17" s="415">
        <f>IF(ISNUMBER(Datos!M17),Datos!M17," - ")</f>
        <v>171</v>
      </c>
      <c r="E17" s="416">
        <f t="shared" si="3"/>
        <v>28.5</v>
      </c>
      <c r="F17" s="415">
        <f>IF(ISNUMBER(Datos!N17),Datos!N17," - ")</f>
        <v>1137</v>
      </c>
      <c r="G17" s="416">
        <f t="shared" si="4"/>
        <v>189.5</v>
      </c>
      <c r="H17" s="415">
        <f>IF(ISNUMBER(Datos!O17),Datos!O17," - ")</f>
        <v>0</v>
      </c>
      <c r="I17" s="416">
        <f t="shared" si="5"/>
        <v>0</v>
      </c>
    </row>
    <row r="18" spans="1:9">
      <c r="A18" s="414" t="str">
        <f>Datos!A18</f>
        <v>Jdos. Violencia contra la mujer</v>
      </c>
      <c r="B18" s="444">
        <f>Datos!AO18</f>
        <v>1</v>
      </c>
      <c r="C18" s="445">
        <f>Datos!AQ18</f>
        <v>0</v>
      </c>
      <c r="D18" s="415">
        <f>IF(ISNUMBER(Datos!M18),Datos!M18," - ")</f>
        <v>6</v>
      </c>
      <c r="E18" s="416">
        <f>IF(ISNUMBER(D18/B18),D18/B18," - ")</f>
        <v>6</v>
      </c>
      <c r="F18" s="415">
        <f>IF(ISNUMBER(Datos!N18),Datos!N18," - ")</f>
        <v>92</v>
      </c>
      <c r="G18" s="416">
        <f>IF(ISNUMBER(F18/B18),F18/B18," - ")</f>
        <v>92</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7</v>
      </c>
      <c r="C20" s="998">
        <f>Datos!AR20</f>
        <v>6</v>
      </c>
      <c r="D20" s="996">
        <f>SUBTOTAL(9,D16:D19)</f>
        <v>177</v>
      </c>
      <c r="E20" s="997">
        <f t="shared" si="3"/>
        <v>25.285714285714285</v>
      </c>
      <c r="F20" s="996">
        <f>SUBTOTAL(9,F16:F19)</f>
        <v>1229</v>
      </c>
      <c r="G20" s="997">
        <f t="shared" si="4"/>
        <v>175.57142857142858</v>
      </c>
      <c r="H20" s="996">
        <f>SUBTOTAL(9,H16:H19)</f>
        <v>0</v>
      </c>
      <c r="I20" s="997">
        <f>IF(ISNUMBER(H20/B20),H20/B20," - ")</f>
        <v>0</v>
      </c>
    </row>
    <row r="21" spans="1:9" ht="14.25" thickTop="1" thickBot="1">
      <c r="A21" s="940" t="str">
        <f>Datos!A21</f>
        <v>TOTAL JURISDICCIONES</v>
      </c>
      <c r="B21" s="941">
        <f>Datos!AP21</f>
        <v>6</v>
      </c>
      <c r="C21" s="941">
        <f>Datos!AR21</f>
        <v>6</v>
      </c>
      <c r="D21" s="941">
        <f>SUBTOTAL(9,D8:D20)</f>
        <v>544</v>
      </c>
      <c r="E21" s="942">
        <f>IF(ISNUMBER(D21/B21),D21/B21," - ")</f>
        <v>90.666666666666671</v>
      </c>
      <c r="F21" s="941">
        <f>SUBTOTAL(9,F8:F20)</f>
        <v>2102</v>
      </c>
      <c r="G21" s="942">
        <f>IF(ISNUMBER(F21/B21),F21/B21," - ")</f>
        <v>350.33333333333331</v>
      </c>
      <c r="H21" s="941">
        <f>SUBTOTAL(9,H8:H20)</f>
        <v>645</v>
      </c>
      <c r="I21" s="942">
        <f>IF(ISNUMBER(H21/B21),H21/B21," - ")</f>
        <v>107.5</v>
      </c>
    </row>
    <row r="24" spans="1:9">
      <c r="A24" s="403" t="str">
        <f>Criterios!A4</f>
        <v>Fecha Informe: 06 jun. 2023</v>
      </c>
    </row>
    <row r="29" spans="1:9">
      <c r="A29" s="426"/>
    </row>
  </sheetData>
  <sheetProtection algorithmName="SHA-512" hashValue="5kl+uokXAWXwPxyS3F8eJtnsaS052p/vssFr1A0+wc7dzlwI+k0to4VegMfyIo2yBr8CTShSNZcyN+rA0BEaTQ==" saltValue="eDy6CPTgpV8kJOzvLNlZ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SANT BOI DE LLOBREGAT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2</v>
      </c>
      <c r="C10" s="451">
        <f>IF(ISNUMBER(Datos!Q10),Datos!Q10," - ")</f>
        <v>1</v>
      </c>
      <c r="D10" s="420">
        <f>IF(ISNUMBER(Datos!R10),Datos!R10," - ")</f>
        <v>22</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392</v>
      </c>
      <c r="C12" s="451">
        <f>IF(ISNUMBER(Datos!Q12),Datos!Q12," - ")</f>
        <v>150</v>
      </c>
      <c r="D12" s="420">
        <f>IF(ISNUMBER(Datos!R12),Datos!R12," - ")</f>
        <v>4927</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394</v>
      </c>
      <c r="C14" s="1000">
        <f>SUBTOTAL(9,C9:C13)</f>
        <v>151</v>
      </c>
      <c r="D14" s="998">
        <f>SUBTOTAL(9,D9:D13)</f>
        <v>4949</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41</v>
      </c>
      <c r="C17" s="451">
        <f>IF(ISNUMBER(Datos!Q17),Datos!Q17," - ")</f>
        <v>20</v>
      </c>
      <c r="D17" s="420">
        <f>IF(ISNUMBER(Datos!R17),Datos!R17," - ")</f>
        <v>399</v>
      </c>
    </row>
    <row r="18" spans="1:4">
      <c r="A18" s="414" t="str">
        <f>Datos!A18</f>
        <v>Jdos. Violencia contra la mujer</v>
      </c>
      <c r="B18" s="450">
        <f>IF(ISNUMBER(Datos!P18),Datos!P18," - ")</f>
        <v>2</v>
      </c>
      <c r="C18" s="451">
        <f>IF(ISNUMBER(Datos!Q18),Datos!Q18," - ")</f>
        <v>1</v>
      </c>
      <c r="D18" s="420">
        <f>IF(ISNUMBER(Datos!R18),Datos!R18," - ")</f>
        <v>4</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43</v>
      </c>
      <c r="C20" s="1000">
        <f>SUBTOTAL(9,C16:C19)</f>
        <v>21</v>
      </c>
      <c r="D20" s="998">
        <f>SUBTOTAL(9,D16:D19)</f>
        <v>403</v>
      </c>
    </row>
    <row r="21" spans="1:4" ht="16.5" customHeight="1" thickTop="1" thickBot="1">
      <c r="A21" s="940" t="str">
        <f>Datos!A21</f>
        <v>TOTAL JURISDICCIONES</v>
      </c>
      <c r="B21" s="945">
        <f>SUBTOTAL(9,B8:B20)</f>
        <v>437</v>
      </c>
      <c r="C21" s="946">
        <f>SUBTOTAL(9,C8:C20)</f>
        <v>172</v>
      </c>
      <c r="D21" s="947">
        <f>SUBTOTAL(9,D8:D20)</f>
        <v>5352</v>
      </c>
    </row>
    <row r="22" spans="1:4" ht="7.5" customHeight="1"/>
    <row r="23" spans="1:4" ht="6" customHeight="1"/>
    <row r="24" spans="1:4">
      <c r="A24" s="403" t="str">
        <f>Criterios!A4</f>
        <v>Fecha Informe: 06 jun. 2023</v>
      </c>
    </row>
    <row r="29" spans="1:4">
      <c r="A29" s="426"/>
    </row>
  </sheetData>
  <sheetProtection algorithmName="SHA-512" hashValue="fH8oBrSf/YFp5vB23IqRS3kFok9k+Tz1mBe7Evxgd3fUogAx59LcSeNntwU4CamPz/u+nfhstPFgNOsGvqsPYQ==" saltValue="K9upgyi6qxatSTGE25X9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SANT BOI DE LLOBREGAT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0.5</v>
      </c>
      <c r="C10" s="473">
        <f>IF(ISNUMBER((Datos!J10-Datos!T10)/Datos!T10),(Datos!J10-Datos!T10)/Datos!T10," - ")</f>
        <v>0.26666666666666666</v>
      </c>
      <c r="D10" s="473">
        <f>IF(ISNUMBER((Datos!K10-Datos!U10)/Datos!U10),(Datos!K10-Datos!U10)/Datos!U10," - ")</f>
        <v>0</v>
      </c>
      <c r="E10" s="473">
        <f>IF(ISNUMBER((Datos!L10-Datos!V10)/Datos!V10),(Datos!L10-Datos!V10)/Datos!V10," - ")</f>
        <v>0.64516129032258063</v>
      </c>
      <c r="F10" s="473">
        <f>IF(ISNUMBER((Datos!M10-Datos!W10)/Datos!W10),(Datos!M10-Datos!W10)/Datos!W10," - ")</f>
        <v>1</v>
      </c>
      <c r="G10" s="474">
        <f>IF(ISNUMBER((Datos!N10-Datos!X10)/Datos!X10),(Datos!N10-Datos!X10)/Datos!X10," - ")</f>
        <v>-0.16666666666666666</v>
      </c>
      <c r="H10" s="472">
        <f>IF(ISNUMBER(((NºAsuntos!G10/NºAsuntos!E10)-Datos!BD10)/Datos!BD10),((NºAsuntos!G10/NºAsuntos!E10)-Datos!BD10)/Datos!BD10," - ")</f>
        <v>-0.21052631578947373</v>
      </c>
      <c r="I10" s="473">
        <f>IF(ISNUMBER(((NºAsuntos!I10/NºAsuntos!G10)-Datos!BE10)/Datos!BE10),((NºAsuntos!I10/NºAsuntos!G10)-Datos!BE10)/Datos!BE10," - ")</f>
        <v>0.64516129032258063</v>
      </c>
      <c r="J10" s="478">
        <f>IF(ISNUMBER((('Resol  Asuntos'!D10/NºAsuntos!G10)-Datos!BF10)/Datos!BF10),(('Resol  Asuntos'!D10/NºAsuntos!G10)-Datos!BF10)/Datos!BF10," - ")</f>
        <v>1</v>
      </c>
      <c r="K10" s="479">
        <f>IF(ISNUMBER((((NºAsuntos!C10+NºAsuntos!E10)/NºAsuntos!G10)-Datos!BG10)/Datos!BG10),(((NºAsuntos!C10+NºAsuntos!E10)/NºAsuntos!G10)-Datos!BG10)/Datos!BG10," - ")</f>
        <v>0.42553191489361702</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0.20089285714285715</v>
      </c>
      <c r="C12" s="473">
        <f>IF(ISNUMBER(
   IF(J_V="SI",(Datos!J12-Datos!T12)/Datos!T12,(Datos!J12+Datos!Z12-(Datos!T12+Datos!AH12))/(Datos!T12+Datos!AH12))
     ),IF(J_V="SI",(Datos!J12-Datos!T12)/Datos!T12,(Datos!J12+Datos!Z12-(Datos!T12+Datos!AH12))/(Datos!T12+Datos!AH12))," - ")</f>
        <v>9.1063348416289588E-2</v>
      </c>
      <c r="D12" s="473">
        <f>IF(ISNUMBER(
   IF(J_V="SI",(Datos!K12-Datos!U12)/Datos!U12,(Datos!K12+Datos!AA12-(Datos!U12+Datos!AI12))/(Datos!U12+Datos!AI12))
     ),IF(J_V="SI",(Datos!K12-Datos!U12)/Datos!U12,(Datos!K12+Datos!AA12-(Datos!U12+Datos!AI12))/(Datos!U12+Datos!AI12))," - ")</f>
        <v>0.106318347509113</v>
      </c>
      <c r="E12" s="473">
        <f>IF(ISNUMBER(
   IF(J_V="SI",(Datos!L12-Datos!V12)/Datos!V12,(Datos!L12+Datos!AB12-(Datos!V12+Datos!AJ12))/(Datos!V12+Datos!AJ12))
     ),IF(J_V="SI",(Datos!L12-Datos!V12)/Datos!V12,(Datos!L12+Datos!AB12-(Datos!V12+Datos!AJ12))/(Datos!V12+Datos!AJ12))," - ")</f>
        <v>0.19484240687679083</v>
      </c>
      <c r="F12" s="473">
        <f>IF(ISNUMBER((Datos!M12-Datos!W12)/Datos!W12),(Datos!M12-Datos!W12)/Datos!W12," - ")</f>
        <v>0.39688715953307391</v>
      </c>
      <c r="G12" s="474">
        <f>IF(ISNUMBER((Datos!N12-Datos!X12)/Datos!X12),(Datos!N12-Datos!X12)/Datos!X12," - ")</f>
        <v>1.2835472578763127E-2</v>
      </c>
      <c r="H12" s="472">
        <f>IF(ISNUMBER(((NºAsuntos!G12/NºAsuntos!E12)-Datos!BD12)/Datos!BD12),((NºAsuntos!G12/NºAsuntos!E12)-Datos!BD12)/Datos!BD12," - ")</f>
        <v>1.3981772107885787E-2</v>
      </c>
      <c r="I12" s="473">
        <f>IF(ISNUMBER(((NºAsuntos!I12/NºAsuntos!G12)-Datos!BE12)/Datos!BE12),((NºAsuntos!I12/NºAsuntos!G12)-Datos!BE12)/Datos!BE12," - ")</f>
        <v>8.0016804897966892E-2</v>
      </c>
      <c r="J12" s="478">
        <f>IF(ISNUMBER((('Resol  Asuntos'!D12/NºAsuntos!G12)-Datos!BF12)/Datos!BF12),(('Resol  Asuntos'!D12/NºAsuntos!G12)-Datos!BF12)/Datos!BF12," - ")</f>
        <v>-0.62135387931669739</v>
      </c>
      <c r="K12" s="479">
        <f>IF(ISNUMBER((((NºAsuntos!C12+NºAsuntos!E12)/NºAsuntos!G12)-Datos!BG12)/Datos!BG12),(((NºAsuntos!C12+NºAsuntos!E12)/NºAsuntos!G12)-Datos!BG12)/Datos!BG12," - ")</f>
        <v>4.6096705402855397E-2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0.20441176470588235</v>
      </c>
      <c r="C14" s="1002">
        <f>IF(ISNUMBER(
   IF(J_V="SI",(Datos!J14-Datos!T14)/Datos!T14,(Datos!J14+Datos!Z14-(Datos!T14+Datos!AH14))/(Datos!T14+Datos!AH14))
     ),IF(J_V="SI",(Datos!J14-Datos!T14)/Datos!T14,(Datos!J14+Datos!Z14-(Datos!T14+Datos!AH14))/(Datos!T14+Datos!AH14))," - ")</f>
        <v>9.2540661805945043E-2</v>
      </c>
      <c r="D14" s="1002">
        <f>IF(ISNUMBER(
   IF(J_V="SI",(Datos!K14-Datos!U14)/Datos!U14,(Datos!K14+Datos!AA14-(Datos!U14+Datos!AI14))/(Datos!U14+Datos!AI14))
     ),IF(J_V="SI",(Datos!K14-Datos!U14)/Datos!U14,(Datos!K14+Datos!AA14-(Datos!U14+Datos!AI14))/(Datos!U14+Datos!AI14))," - ")</f>
        <v>0.10529482551143202</v>
      </c>
      <c r="E14" s="1002">
        <f>IF(ISNUMBER(
   IF(J_V="SI",(Datos!L14-Datos!V14)/Datos!V14,(Datos!L14+Datos!AB14-(Datos!V14+Datos!AJ14))/(Datos!V14+Datos!AJ14))
     ),IF(J_V="SI",(Datos!L14-Datos!V14)/Datos!V14,(Datos!L14+Datos!AB14-(Datos!V14+Datos!AJ14))/(Datos!V14+Datos!AJ14))," - ")</f>
        <v>0.19978746014877791</v>
      </c>
      <c r="F14" s="1003">
        <f>IF(ISNUMBER((Datos!M14-Datos!W14)/Datos!W14),(Datos!M14-Datos!W14)/Datos!W14," - ")</f>
        <v>0.4061302681992337</v>
      </c>
      <c r="G14" s="1004">
        <f>IF(ISNUMBER((Datos!N14-Datos!X14)/Datos!X14),(Datos!N14-Datos!X14)/Datos!X14," - ")</f>
        <v>1.1587485515643106E-2</v>
      </c>
      <c r="H14" s="1004">
        <f>IF(ISNUMBER(((NºAsuntos!G14/NºAsuntos!E14)-Datos!BD14)/Datos!BD14),((NºAsuntos!G14/NºAsuntos!E14)-Datos!BD14)/Datos!BD14," - ")</f>
        <v>1.1673857231459523E-2</v>
      </c>
      <c r="I14" s="1004">
        <f>IF(ISNUMBER(((NºAsuntos!I14/NºAsuntos!G14)-Datos!BE14)/Datos!BE14),((NºAsuntos!I14/NºAsuntos!G14)-Datos!BE14)/Datos!BE14," - ")</f>
        <v>8.5490886645219963E-2</v>
      </c>
      <c r="J14" s="1004">
        <f>IF(ISNUMBER((('Resol  Asuntos'!D14/NºAsuntos!G14)-Datos!BF14)/Datos!BF14),(('Resol  Asuntos'!D14/NºAsuntos!G14)-Datos!BF14)/Datos!BF14," - ")</f>
        <v>-0.6143576009210594</v>
      </c>
      <c r="K14" s="1004">
        <f>IF(ISNUMBER((((NºAsuntos!C14+NºAsuntos!E14)/NºAsuntos!G14)-Datos!BG14)/Datos!BG14),(((NºAsuntos!C14+NºAsuntos!E14)/NºAsuntos!G14)-Datos!BG14)/Datos!BG14," - ")</f>
        <v>4.9598217410494264E-2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0.24557260920897284</v>
      </c>
      <c r="C17" s="473">
        <f>IF(ISNUMBER(
   IF(D_I="SI",(Datos!J17-Datos!T17)/Datos!T17,(Datos!J17+Datos!AD17-(Datos!T17+Datos!AL17))/(Datos!T17+Datos!AL17))
     ),IF(D_I="SI",(Datos!J17-Datos!T17)/Datos!T17,(Datos!J17+Datos!AD17-(Datos!T17+Datos!AL17))/(Datos!T17+Datos!AL17))," - ")</f>
        <v>-0.10438908659549229</v>
      </c>
      <c r="D17" s="473">
        <f>IF(ISNUMBER(
   IF(D_I="SI",(Datos!K17-Datos!U17)/Datos!U17,(Datos!K17+Datos!AE17-(Datos!U17+Datos!AM17))/(Datos!U17+Datos!AM17))
     ),IF(D_I="SI",(Datos!K17-Datos!U17)/Datos!U17,(Datos!K17+Datos!AE17-(Datos!U17+Datos!AM17))/(Datos!U17+Datos!AM17))," - ")</f>
        <v>-2.9525032092426188E-2</v>
      </c>
      <c r="E17" s="473">
        <f>IF(ISNUMBER(
   IF(D_I="SI",(Datos!L17-Datos!V17)/Datos!V17,(Datos!L17+Datos!AF17-(Datos!V17+Datos!AN17))/(Datos!V17+Datos!AN17))
     ),IF(D_I="SI",(Datos!L17-Datos!V17)/Datos!V17,(Datos!L17+Datos!AF17-(Datos!V17+Datos!AN17))/(Datos!V17+Datos!AN17))," - ")</f>
        <v>7.8893442622950824E-2</v>
      </c>
      <c r="F17" s="473">
        <f>IF(ISNUMBER((Datos!M17-Datos!W17)/Datos!W17),(Datos!M17-Datos!W17)/Datos!W17," - ")</f>
        <v>-3.9325842696629212E-2</v>
      </c>
      <c r="G17" s="474">
        <f>IF(ISNUMBER((Datos!N17-Datos!X17)/Datos!X17),(Datos!N17-Datos!X17)/Datos!X17," - ")</f>
        <v>-3.8071065989847719E-2</v>
      </c>
      <c r="H17" s="472">
        <f>IF(ISNUMBER(((NºAsuntos!G17/NºAsuntos!E17)-Datos!BD17)/Datos!BD17),((NºAsuntos!G17/NºAsuntos!E17)-Datos!BD17)/Datos!BD17," - ")</f>
        <v>8.358993105441688E-2</v>
      </c>
      <c r="I17" s="473">
        <f>IF(ISNUMBER(((NºAsuntos!I17/NºAsuntos!G17)-Datos!BE17)/Datos!BE17),((NºAsuntos!I17/NºAsuntos!G17)-Datos!BE17)/Datos!BE17," - ")</f>
        <v>0.11171692037470722</v>
      </c>
      <c r="J17" s="478">
        <f>IF(ISNUMBER((('Resol  Asuntos'!D17/NºAsuntos!G17)-Datos!BF17)/Datos!BF17),(('Resol  Asuntos'!D17/NºAsuntos!G17)-Datos!BF17)/Datos!BF17," - ")</f>
        <v>-1.0098983413590206E-2</v>
      </c>
      <c r="K17" s="479">
        <f>IF(ISNUMBER((((NºAsuntos!C17+NºAsuntos!E17)/NºAsuntos!G17)-Datos!BG17)/Datos!BG17),(((NºAsuntos!C17+NºAsuntos!E17)/NºAsuntos!G17)-Datos!BG17)/Datos!BG17," - ")</f>
        <v>4.3440866279397639E-2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0.5625</v>
      </c>
      <c r="C18" s="473">
        <f>IF(ISNUMBER(
   IF(D_I="SI",(Datos!J18-Datos!T18)/Datos!T18,(Datos!J18+Datos!AD18-(Datos!T18+Datos!AL18))/(Datos!T18+Datos!AL18))
     ),IF(D_I="SI",(Datos!J18-Datos!T18)/Datos!T18,(Datos!J18+Datos!AD18-(Datos!T18+Datos!AL18))/(Datos!T18+Datos!AL18))," - ")</f>
        <v>-0.25925925925925924</v>
      </c>
      <c r="D18" s="473">
        <f>IF(ISNUMBER(
   IF(D_I="SI",(Datos!K18-Datos!U18)/Datos!U18,(Datos!K18+Datos!AE18-(Datos!U18+Datos!AM18))/(Datos!U18+Datos!AM18))
     ),IF(D_I="SI",(Datos!K18-Datos!U18)/Datos!U18,(Datos!K18+Datos!AE18-(Datos!U18+Datos!AM18))/(Datos!U18+Datos!AM18))," - ")</f>
        <v>0</v>
      </c>
      <c r="E18" s="473">
        <f>IF(ISNUMBER(
   IF(D_I="SI",(Datos!L18-Datos!V18)/Datos!V18,(Datos!L18+Datos!AF18-(Datos!V18+Datos!AN18))/(Datos!V18+Datos!AN18))
     ),IF(D_I="SI",(Datos!L18-Datos!V18)/Datos!V18,(Datos!L18+Datos!AF18-(Datos!V18+Datos!AN18))/(Datos!V18+Datos!AN18))," - ")</f>
        <v>1.0638297872340425E-2</v>
      </c>
      <c r="F18" s="473">
        <f>IF(ISNUMBER((Datos!M18-Datos!W18)/Datos!W18),(Datos!M18-Datos!W18)/Datos!W18," - ")</f>
        <v>-0.45454545454545453</v>
      </c>
      <c r="G18" s="474">
        <f>IF(ISNUMBER((Datos!N18-Datos!X18)/Datos!X18),(Datos!N18-Datos!X18)/Datos!X18," - ")</f>
        <v>0.95744680851063835</v>
      </c>
      <c r="H18" s="472">
        <f>IF(ISNUMBER(((NºAsuntos!G18/NºAsuntos!E18)-Datos!BD18)/Datos!BD18),((NºAsuntos!G18/NºAsuntos!E18)-Datos!BD18)/Datos!BD18," - ")</f>
        <v>0.35000000000000003</v>
      </c>
      <c r="I18" s="473">
        <f>IF(ISNUMBER(((NºAsuntos!I18/NºAsuntos!G18)-Datos!BE18)/Datos!BE18),((NºAsuntos!I18/NºAsuntos!G18)-Datos!BE18)/Datos!BE18," - ")</f>
        <v>1.0638297872340387E-2</v>
      </c>
      <c r="J18" s="478">
        <f>IF(ISNUMBER((('Resol  Asuntos'!D18/NºAsuntos!G18)-Datos!BF18)/Datos!BF18),(('Resol  Asuntos'!D18/NºAsuntos!G18)-Datos!BF18)/Datos!BF18," - ")</f>
        <v>-0.45454545454545459</v>
      </c>
      <c r="K18" s="479">
        <f>IF(ISNUMBER((((NºAsuntos!C18+NºAsuntos!E18)/NºAsuntos!G18)-Datos!BG18)/Datos!BG18),(((NºAsuntos!C18+NºAsuntos!E18)/NºAsuntos!G18)-Datos!BG18)/Datos!BG18," - ")</f>
        <v>5.0251256281406862E-3</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0.26783754116355651</v>
      </c>
      <c r="C20" s="1002">
        <f>IF(ISNUMBER(
   IF(Criterios!B14="SI",(Datos!J20-Datos!T20)/Datos!T20,(Datos!J20+Datos!AD20-(Datos!T20+Datos!AL20))/(Datos!T20+Datos!AL20))
     ),IF(Criterios!B14="SI",(Datos!J20-Datos!T20)/Datos!T20,(Datos!J20+Datos!AD20-(Datos!T20+Datos!AL20))/(Datos!T20+Datos!AL20))," - ")</f>
        <v>-0.11587040087863811</v>
      </c>
      <c r="D20" s="1002">
        <f>IF(ISNUMBER(
   IF(Criterios!B14="SI",(Datos!K20-Datos!U20)/Datos!U20,(Datos!K20+Datos!AE20-(Datos!U20+Datos!AM20))/(Datos!U20+Datos!AM20))
     ),IF(Criterios!B14="SI",(Datos!K20-Datos!U20)/Datos!U20,(Datos!K20+Datos!AE20-(Datos!U20+Datos!AM20))/(Datos!U20+Datos!AM20))," - ")</f>
        <v>-2.7660853878532773E-2</v>
      </c>
      <c r="E20" s="1002">
        <f>IF(ISNUMBER(
   IF(Criterios!B14="SI",(Datos!L20-Datos!V20)/Datos!V20,(Datos!L20+Datos!AF20-(Datos!V20+Datos!AN20))/(Datos!V20+Datos!AN20))
     ),IF(Criterios!B14="SI",(Datos!L20-Datos!V20)/Datos!V20,(Datos!L20+Datos!AF20-(Datos!V20+Datos!AN20))/(Datos!V20+Datos!AN20))," - ")</f>
        <v>7.2897196261682243E-2</v>
      </c>
      <c r="F20" s="1003">
        <f>IF(ISNUMBER((Datos!M20-Datos!W20)/Datos!W20),(Datos!M20-Datos!W20)/Datos!W20," - ")</f>
        <v>-6.3492063492063489E-2</v>
      </c>
      <c r="G20" s="1004">
        <f>IF(ISNUMBER((Datos!N20-Datos!X20)/Datos!X20),(Datos!N20-Datos!X20)/Datos!X20," - ")</f>
        <v>0</v>
      </c>
      <c r="H20" s="1004">
        <f>IF(ISNUMBER(((NºAsuntos!G20/NºAsuntos!E20)-Datos!BD20)/Datos!BD20),((NºAsuntos!G20/NºAsuntos!E20)-Datos!BD20)/Datos!BD20," - ")</f>
        <v>9.9769928625584953E-2</v>
      </c>
      <c r="I20" s="1004">
        <f>IF(ISNUMBER(((NºAsuntos!I20/NºAsuntos!G20)-Datos!BE20)/Datos!BE20),((NºAsuntos!I20/NºAsuntos!G20)-Datos!BE20)/Datos!BE20," - ")</f>
        <v>0.10341869968038192</v>
      </c>
      <c r="J20" s="1004">
        <f>IF(ISNUMBER((('Resol  Asuntos'!D20/NºAsuntos!G20)-Datos!BF20)/Datos!BF20),(('Resol  Asuntos'!D20/NºAsuntos!G20)-Datos!BF20)/Datos!BF20," - ")</f>
        <v>-3.6850526646444941E-2</v>
      </c>
      <c r="K20" s="1004">
        <f>IF(ISNUMBER((((NºAsuntos!C20+NºAsuntos!E20)/NºAsuntos!G20)-Datos!BG20)/Datos!BG20),(((NºAsuntos!C20+NºAsuntos!E20)/NºAsuntos!G20)-Datos!BG20)/Datos!BG20," - ")</f>
        <v>4.0870427766474586E-2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0.22032497934453318</v>
      </c>
      <c r="C21" s="949">
        <f>IF(ISNUMBER(
   IF(J_V="SI",(Datos!J21-Datos!T21)/Datos!T21,(Datos!J21+Datos!Z21-(Datos!T21+Datos!AH21))/(Datos!T21+Datos!AH21))
     ),IF(J_V="SI",(Datos!J21-Datos!T21)/Datos!T21,(Datos!J21+Datos!Z21-(Datos!T21+Datos!AH21))/(Datos!T21+Datos!AH21))," - ")</f>
        <v>-1.2763596004439512E-2</v>
      </c>
      <c r="D21" s="949">
        <f>IF(ISNUMBER(
   IF(J_V="SI",(Datos!K21-Datos!U21)/Datos!U21,(Datos!K21+Datos!AA21-(Datos!U21+Datos!AI21))/(Datos!U21+Datos!AI21))
     ),IF(J_V="SI",(Datos!K21-Datos!U21)/Datos!U21,(Datos!K21+Datos!AA21-(Datos!U21+Datos!AI21))/(Datos!U21+Datos!AI21))," - ")</f>
        <v>3.879699248120301E-2</v>
      </c>
      <c r="E21" s="949">
        <f>IF(ISNUMBER(
   IF(J_V="SI",(Datos!L21-Datos!V21)/Datos!V21,(Datos!L21+Datos!AB21-(Datos!V21+Datos!AJ21))/(Datos!V21+Datos!AJ21))
     ),IF(J_V="SI",(Datos!L21-Datos!V21)/Datos!V21,(Datos!L21+Datos!AB21-(Datos!V21+Datos!AJ21))/(Datos!V21+Datos!AJ21))," - ")</f>
        <v>0.16491137939892114</v>
      </c>
      <c r="F21" s="950">
        <f>IF(ISNUMBER((Datos!M21-Datos!W21)/Datos!W21),(Datos!M21-Datos!W21)/Datos!W21," - ")</f>
        <v>0.2088888888888889</v>
      </c>
      <c r="G21" s="951">
        <f>IF(ISNUMBER((Datos!N21-Datos!X21)/Datos!X21),(Datos!N21-Datos!X21)/Datos!X21," - ")</f>
        <v>4.7801147227533461E-3</v>
      </c>
      <c r="H21" s="952">
        <f>IF(ISNUMBER((Tasas!B21-Datos!BD21)/Datos!BD21),(Tasas!B21-Datos!BD21)/Datos!BD21," - ")</f>
        <v>5.2227195306985809E-2</v>
      </c>
      <c r="I21" s="953">
        <f>IF(ISNUMBER((Tasas!C21-Datos!BE21)/Datos!BE21),(Tasas!C21-Datos!BE21)/Datos!BE21," - ")</f>
        <v>0.12140426650301456</v>
      </c>
      <c r="J21" s="954">
        <f>IF(ISNUMBER((Tasas!D21-Datos!BF21)/Datos!BF21),(Tasas!D21-Datos!BF21)/Datos!BF21," - ")</f>
        <v>-0.50125458405713186</v>
      </c>
      <c r="K21" s="954">
        <f>IF(ISNUMBER((Tasas!E21-Datos!BG21)/Datos!BG21),(Tasas!E21-Datos!BG21)/Datos!BG21," - ")</f>
        <v>6.2975371043018133E-2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fx+8pRHNnX2Q0gqid40XfLpv1U/ADGBnVM2fYS8jEl8zEtQaDFXpAJw/JaRZEU1Djwn2W5d8Iclhsz6jOSYFLw==" saltValue="N4odW66bcZozAqhV72DSIg=="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SANT BOI DE LLOBREGAT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0.84210526315789469</v>
      </c>
      <c r="C10" s="460">
        <f>IF(ISNUMBER(NºAsuntos!I10/NºAsuntos!G10),NºAsuntos!I10/NºAsuntos!G10," - ")</f>
        <v>3.1875</v>
      </c>
      <c r="D10" s="461">
        <f>IF(ISNUMBER('Resol  Asuntos'!D10/NºAsuntos!G10),'Resol  Asuntos'!D10/NºAsuntos!G10," - ")</f>
        <v>0.5</v>
      </c>
      <c r="E10" s="462">
        <f>IF(ISNUMBER((NºAsuntos!C10+NºAsuntos!E10)/NºAsuntos!G10),(NºAsuntos!C10+NºAsuntos!E10)/NºAsuntos!G10," - ")</f>
        <v>4.1875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0.94401244167962672</v>
      </c>
      <c r="C12" s="460">
        <f>IF(ISNUMBER(NºAsuntos!I12/NºAsuntos!G12),NºAsuntos!I12/NºAsuntos!G12," - ")</f>
        <v>1.8319604612850082</v>
      </c>
      <c r="D12" s="461">
        <f>IF(ISNUMBER('Resol  Asuntos'!D12/NºAsuntos!G12),'Resol  Asuntos'!D12/NºAsuntos!G12," - ")</f>
        <v>0.1971444261394838</v>
      </c>
      <c r="E12" s="462">
        <f>IF(ISNUMBER((NºAsuntos!C12+NºAsuntos!E12)/NºAsuntos!G12),(NºAsuntos!C12+NºAsuntos!E12)/NºAsuntos!G12," - ")</f>
        <v>2.8319604612850084</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0.94301848049281312</v>
      </c>
      <c r="C14" s="1006">
        <f>IF(ISNUMBER(NºAsuntos!I14/NºAsuntos!G14),NºAsuntos!I14/NºAsuntos!G14," - ")</f>
        <v>1.8437670114316822</v>
      </c>
      <c r="D14" s="1007">
        <f>IF(ISNUMBER('Resol  Asuntos'!D14/NºAsuntos!G14),'Resol  Asuntos'!D14/NºAsuntos!G14," - ")</f>
        <v>0.19978225367446925</v>
      </c>
      <c r="E14" s="1008">
        <f>IF(ISNUMBER((NºAsuntos!C14+NºAsuntos!E14)/NºAsuntos!G14),(NºAsuntos!C14+NºAsuntos!E14)/NºAsuntos!G14," - ")</f>
        <v>2.843767011431682</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1.0013245033112583</v>
      </c>
      <c r="C17" s="460">
        <f>IF(ISNUMBER(NºAsuntos!I17/NºAsuntos!G17),NºAsuntos!I17/NºAsuntos!G17," - ")</f>
        <v>0.6964285714285714</v>
      </c>
      <c r="D17" s="461">
        <f>IF(ISNUMBER('Resol  Asuntos'!D17/NºAsuntos!G17),'Resol  Asuntos'!D17/NºAsuntos!G17," - ")</f>
        <v>0.1130952380952381</v>
      </c>
      <c r="E17" s="462">
        <f>IF(ISNUMBER((NºAsuntos!C17+NºAsuntos!E17)/NºAsuntos!G17),(NºAsuntos!C17+NºAsuntos!E17)/NºAsuntos!G17," - ")</f>
        <v>1.6964285714285714</v>
      </c>
      <c r="G17" s="480"/>
    </row>
    <row r="18" spans="1:7">
      <c r="A18" s="414" t="str">
        <f>Datos!A18</f>
        <v>Jdos. Violencia contra la mujer</v>
      </c>
      <c r="B18" s="459">
        <f>IF(ISNUMBER(NºAsuntos!G18/NºAsuntos!E18),NºAsuntos!G18/NºAsuntos!E18," - ")</f>
        <v>1.05</v>
      </c>
      <c r="C18" s="460">
        <f>IF(ISNUMBER(NºAsuntos!I18/NºAsuntos!G18),NºAsuntos!I18/NºAsuntos!G18," - ")</f>
        <v>0.90476190476190477</v>
      </c>
      <c r="D18" s="461">
        <f>IF(ISNUMBER('Resol  Asuntos'!D18/NºAsuntos!G18),'Resol  Asuntos'!D18/NºAsuntos!G18," - ")</f>
        <v>5.7142857142857141E-2</v>
      </c>
      <c r="E18" s="462">
        <f>IF(ISNUMBER((NºAsuntos!C18+NºAsuntos!E18)/NºAsuntos!G18),(NºAsuntos!C18+NºAsuntos!E18)/NºAsuntos!G18," - ")</f>
        <v>1.9047619047619047</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1.0043478260869565</v>
      </c>
      <c r="C20" s="1006">
        <f>IF(ISNUMBER(NºAsuntos!I20/NºAsuntos!G20),NºAsuntos!I20/NºAsuntos!G20," - ")</f>
        <v>0.70995670995671001</v>
      </c>
      <c r="D20" s="1009">
        <f>IF(ISNUMBER('Resol  Asuntos'!D20/NºAsuntos!G20),'Resol  Asuntos'!D20/NºAsuntos!G20," - ")</f>
        <v>0.10946196660482375</v>
      </c>
      <c r="E20" s="1008">
        <f>IF(ISNUMBER((NºAsuntos!C20+NºAsuntos!E20)/NºAsuntos!G20),(NºAsuntos!C20+NºAsuntos!E20)/NºAsuntos!G20," - ")</f>
        <v>1.7099567099567099</v>
      </c>
      <c r="G20" s="480"/>
    </row>
    <row r="21" spans="1:7" ht="15.75" customHeight="1" thickTop="1" thickBot="1">
      <c r="A21" s="940" t="str">
        <f>Datos!A21</f>
        <v>TOTAL JURISDICCIONES</v>
      </c>
      <c r="B21" s="955">
        <f>IF(ISNUMBER(NºAsuntos!G21/NºAsuntos!E21),NºAsuntos!G21/NºAsuntos!E21," - ")</f>
        <v>0.97077009555930294</v>
      </c>
      <c r="C21" s="956">
        <f>IF(ISNUMBER(NºAsuntos!I21/NºAsuntos!G21),NºAsuntos!I21/NºAsuntos!G21," - ")</f>
        <v>1.3129704690214243</v>
      </c>
      <c r="D21" s="957">
        <f>IF(ISNUMBER('Resol  Asuntos'!D21/NºAsuntos!G21),'Resol  Asuntos'!D21/NºAsuntos!G21," - ")</f>
        <v>0.157498552403011</v>
      </c>
      <c r="E21" s="958">
        <f>IF(ISNUMBER((NºAsuntos!C21+NºAsuntos!E21)/NºAsuntos!G21),(NºAsuntos!C21+NºAsuntos!E21)/NºAsuntos!G21," - ")</f>
        <v>2.3129704690214243</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S1Smc9KH4SeQufNHTJzGNepa/KKlJVf6LqsQpkvkxpn1xrQuLMN5ePfRdAGKaC38Ot7VTPUC512MOfiPNUONBQ==" saltValue="fD/wK9wtJEd+4uZ86mpGT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SANT BOI DE LLOBREGAT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48</v>
      </c>
      <c r="G10" s="343">
        <f>IF(ISNUMBER(Datos!I10),Datos!I10," - ")</f>
        <v>48</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16</v>
      </c>
      <c r="X10" s="231">
        <f>IF(ISNUMBER(Datos!Q10),Datos!Q10," - ")</f>
        <v>1</v>
      </c>
      <c r="Y10" s="344">
        <f t="shared" ref="Y10:Y13" si="0">SUM(W10:X10)</f>
        <v>17</v>
      </c>
      <c r="Z10" s="345" t="str">
        <f>IF(ISNUMBER(Datos!CC10),Datos!CC10," - ")</f>
        <v xml:space="preserve"> - </v>
      </c>
      <c r="AA10" s="342">
        <f>IF(ISNUMBER(Datos!L10),Datos!L10,"-")</f>
        <v>51</v>
      </c>
      <c r="AB10" s="344">
        <f>IF(ISNUMBER(Datos!R10),Datos!R10," - ")</f>
        <v>22</v>
      </c>
      <c r="AC10" s="344">
        <f t="shared" ref="AC10:AC13" si="1">IF(ISNUMBER(AA10+AB10),AA10+AB10," - ")</f>
        <v>73</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8</v>
      </c>
      <c r="AJ10" s="236" t="str">
        <f>IF(ISNUMBER(Datos!BW10),Datos!BW10," - ")</f>
        <v xml:space="preserve"> - </v>
      </c>
      <c r="AK10" s="237" t="str">
        <f>IF(ISNUMBER(Datos!BX10),Datos!BX10," - ")</f>
        <v xml:space="preserve"> - </v>
      </c>
      <c r="AL10" s="248">
        <f>IF(ISNUMBER(NºAsuntos!G10/NºAsuntos!E10),NºAsuntos!G10/NºAsuntos!E10," - ")</f>
        <v>0.84210526315789469</v>
      </c>
      <c r="AM10" s="265">
        <f>IF(ISNUMBER(((NºAsuntos!I10/NºAsuntos!G10)*11)/factor_trimestre),((NºAsuntos!I10/NºAsuntos!G10)*11)/factor_trimestre," - ")</f>
        <v>9.5625</v>
      </c>
      <c r="AN10" s="249">
        <f>IF(ISNUMBER('Resol  Asuntos'!D10/NºAsuntos!G10),'Resol  Asuntos'!D10/NºAsuntos!G10," - ")</f>
        <v>0.5</v>
      </c>
      <c r="AO10" s="250">
        <f>IF(ISNUMBER((NºAsuntos!C10+NºAsuntos!E10)/NºAsuntos!G10),(NºAsuntos!C10+NºAsuntos!E10)/NºAsuntos!G10," - ")</f>
        <v>4.1875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6</v>
      </c>
      <c r="B12" s="280" t="s">
        <v>273</v>
      </c>
      <c r="C12" s="7" t="str">
        <f>Datos!A12</f>
        <v xml:space="preserve">Jdos. 1ª Instª. e Instr.                        </v>
      </c>
      <c r="D12" s="7"/>
      <c r="E12" s="1205">
        <f>IF(ISNUMBER(Datos!AQ12),Datos!AQ12," - ")</f>
        <v>6</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392</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150</v>
      </c>
      <c r="Y12" s="344">
        <f t="shared" si="0"/>
        <v>150</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4927</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359</v>
      </c>
      <c r="AJ12" s="234" t="str">
        <f>IF(ISNUMBER(Datos!BW12),Datos!BW12," - ")</f>
        <v xml:space="preserve"> - </v>
      </c>
      <c r="AK12" s="233" t="str">
        <f>IF(ISNUMBER(Datos!BX12),Datos!BX12," - ")</f>
        <v xml:space="preserve"> - </v>
      </c>
      <c r="AL12" s="248">
        <f>IF(ISNUMBER(NºAsuntos!G12/NºAsuntos!E12),NºAsuntos!G12/NºAsuntos!E12," - ")</f>
        <v>0.94401244167962672</v>
      </c>
      <c r="AM12" s="265">
        <f>IF(ISNUMBER(((NºAsuntos!I12/NºAsuntos!G12)*11)/factor_trimestre),((NºAsuntos!I12/NºAsuntos!G12)*11)/factor_trimestre," - ")</f>
        <v>5.4958813838550249</v>
      </c>
      <c r="AN12" s="249">
        <f>IF(ISNUMBER('Resol  Asuntos'!D12/NºAsuntos!G12),'Resol  Asuntos'!D12/NºAsuntos!G12," - ")</f>
        <v>0.1971444261394838</v>
      </c>
      <c r="AO12" s="250">
        <f>IF(ISNUMBER((NºAsuntos!C12+NºAsuntos!E12)/NºAsuntos!G12),(NºAsuntos!C12+NºAsuntos!E12)/NºAsuntos!G12," - ")</f>
        <v>2.8319604612850084</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6</v>
      </c>
      <c r="F14" s="1012">
        <f t="shared" si="5"/>
        <v>48</v>
      </c>
      <c r="G14" s="1013">
        <f t="shared" si="5"/>
        <v>48</v>
      </c>
      <c r="H14" s="1012">
        <f t="shared" si="5"/>
        <v>0</v>
      </c>
      <c r="I14" s="1014">
        <f t="shared" si="5"/>
        <v>0</v>
      </c>
      <c r="J14" s="1014">
        <f t="shared" si="5"/>
        <v>0</v>
      </c>
      <c r="K14" s="1014">
        <f t="shared" si="5"/>
        <v>0</v>
      </c>
      <c r="L14" s="1014">
        <f t="shared" si="5"/>
        <v>394</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16</v>
      </c>
      <c r="X14" s="1014">
        <f t="shared" si="6"/>
        <v>151</v>
      </c>
      <c r="Y14" s="1015">
        <f t="shared" si="6"/>
        <v>167</v>
      </c>
      <c r="Z14" s="1015">
        <f t="shared" si="6"/>
        <v>0</v>
      </c>
      <c r="AA14" s="1015">
        <f t="shared" si="6"/>
        <v>51</v>
      </c>
      <c r="AB14" s="1015">
        <f t="shared" si="6"/>
        <v>4949</v>
      </c>
      <c r="AC14" s="1015">
        <f t="shared" si="6"/>
        <v>73</v>
      </c>
      <c r="AD14" s="1015">
        <f t="shared" si="6"/>
        <v>0</v>
      </c>
      <c r="AE14" s="1019">
        <f t="shared" si="6"/>
        <v>0</v>
      </c>
      <c r="AF14" s="1012">
        <f t="shared" si="6"/>
        <v>0</v>
      </c>
      <c r="AG14" s="1020">
        <f t="shared" si="6"/>
        <v>0</v>
      </c>
      <c r="AH14" s="1017">
        <f t="shared" si="6"/>
        <v>0</v>
      </c>
      <c r="AI14" s="1012">
        <f t="shared" si="6"/>
        <v>367</v>
      </c>
      <c r="AJ14" s="1014">
        <f t="shared" si="6"/>
        <v>0</v>
      </c>
      <c r="AK14" s="1017">
        <f>SUBTOTAL(9,AK9:AK13)</f>
        <v>0</v>
      </c>
      <c r="AL14" s="1021">
        <f>IF(ISNUMBER(NºAsuntos!G14/NºAsuntos!E14),NºAsuntos!G14/NºAsuntos!E14," - ")</f>
        <v>0.94301848049281312</v>
      </c>
      <c r="AM14" s="1021">
        <f>IF(ISNUMBER(((NºAsuntos!I14/NºAsuntos!G14)*11)/factor_trimestre),((NºAsuntos!I14/NºAsuntos!G14)*11)/factor_trimestre," - ")</f>
        <v>5.5313010342950468</v>
      </c>
      <c r="AN14" s="1022">
        <f>IF(ISNUMBER('Resol  Asuntos'!D14/NºAsuntos!G14),'Resol  Asuntos'!D14/NºAsuntos!G14," - ")</f>
        <v>0.19978225367446925</v>
      </c>
      <c r="AO14" s="1023">
        <f>IF(ISNUMBER((NºAsuntos!C14+NºAsuntos!E14)/NºAsuntos!G14),(NºAsuntos!C14+NºAsuntos!E14)/NºAsuntos!G14," - ")</f>
        <v>2.843767011431682</v>
      </c>
      <c r="AP14" s="1024" t="str">
        <f t="shared" si="2"/>
        <v xml:space="preserve"> - </v>
      </c>
      <c r="AQ14" s="1024">
        <f>IF(ISNUMBER((H14-W14+K14)/(F14)),(H14-W14+K14)/(F14)," - ")</f>
        <v>-0.33333333333333331</v>
      </c>
      <c r="AR14" s="1025">
        <f>IF(ISNUMBER((Datos!P14-Datos!Q14)/(Datos!R14-Datos!P14+Datos!Q14)),(Datos!P14-Datos!Q14)/(Datos!R14-Datos!P14+Datos!Q14)," - ")</f>
        <v>5.163620909477263E-2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6</v>
      </c>
      <c r="B17" s="280" t="s">
        <v>437</v>
      </c>
      <c r="C17" s="165" t="str">
        <f>Datos!A17</f>
        <v xml:space="preserve">Jdos. 1ª Instª. e Instr.                        </v>
      </c>
      <c r="D17" s="165"/>
      <c r="E17" s="1205">
        <f>IF(ISNUMBER(Datos!AQ17),Datos!AQ17," - ")</f>
        <v>6</v>
      </c>
      <c r="F17" s="230">
        <f>IF(ISNUMBER(AA17+W17-Datos!J17-K17),AA17+W17-Datos!J17-K17," - ")</f>
        <v>1055</v>
      </c>
      <c r="G17" s="343">
        <f>IF(ISNUMBER(IF(D_I="SI",Datos!I17,Datos!I17+Datos!AC17)),IF(D_I="SI",Datos!I17,Datos!I17+Datos!AC17)," - ")</f>
        <v>1055</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41</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1512</v>
      </c>
      <c r="X17" s="231">
        <f>IF(ISNUMBER(Datos!Q17),Datos!Q17," - ")</f>
        <v>20</v>
      </c>
      <c r="Y17" s="344">
        <f t="shared" ref="Y17:Y19" si="9">SUM(W17:X17)</f>
        <v>1532</v>
      </c>
      <c r="Z17" s="345" t="str">
        <f>IF(ISNUMBER(Datos!CC17),Datos!CC17," - ")</f>
        <v xml:space="preserve"> - </v>
      </c>
      <c r="AA17" s="342">
        <f>IF(ISNUMBER(IF(D_I="SI",Datos!L17,Datos!L17+Datos!AF17)),IF(D_I="SI",Datos!L17,Datos!L17+Datos!AF17)," - ")</f>
        <v>1053</v>
      </c>
      <c r="AB17" s="344">
        <f>IF(ISNUMBER(Datos!R17),Datos!R17," - ")</f>
        <v>399</v>
      </c>
      <c r="AC17" s="344">
        <f t="shared" si="8"/>
        <v>1452</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171</v>
      </c>
      <c r="AJ17" s="236" t="str">
        <f>IF(ISNUMBER(Datos!BW17),Datos!BW17," - ")</f>
        <v xml:space="preserve"> - </v>
      </c>
      <c r="AK17" s="237" t="str">
        <f>IF(ISNUMBER(Datos!BX17),Datos!BX17," - ")</f>
        <v xml:space="preserve"> - </v>
      </c>
      <c r="AL17" s="248">
        <f>IF(ISNUMBER(NºAsuntos!G17/NºAsuntos!E17),NºAsuntos!G17/NºAsuntos!E17," - ")</f>
        <v>1.0013245033112583</v>
      </c>
      <c r="AM17" s="265">
        <f>IF(ISNUMBER(((NºAsuntos!I17/NºAsuntos!G17)*11)/factor_trimestre),((NºAsuntos!I17/NºAsuntos!G17)*11)/factor_trimestre," - ")</f>
        <v>2.0892857142857144</v>
      </c>
      <c r="AN17" s="249">
        <f>IF(ISNUMBER('Resol  Asuntos'!D17/NºAsuntos!G17),'Resol  Asuntos'!D17/NºAsuntos!G17," - ")</f>
        <v>0.1130952380952381</v>
      </c>
      <c r="AO17" s="250">
        <f>IF(ISNUMBER((NºAsuntos!C17+NºAsuntos!E17)/NºAsuntos!G17),(NºAsuntos!C17+NºAsuntos!E17)/NºAsuntos!G17," - ")</f>
        <v>1.6964285714285714</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100</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2</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105</v>
      </c>
      <c r="X18" s="231">
        <f>IF(ISNUMBER(Datos!Q18),Datos!Q18," - ")</f>
        <v>1</v>
      </c>
      <c r="Y18" s="344">
        <f t="shared" si="9"/>
        <v>106</v>
      </c>
      <c r="Z18" s="345" t="str">
        <f>IF(ISNUMBER(Datos!CC18),Datos!CC18," - ")</f>
        <v xml:space="preserve"> - </v>
      </c>
      <c r="AA18" s="342">
        <f>IF(ISNUMBER(Datos!L18),Datos!L18,"-")</f>
        <v>95</v>
      </c>
      <c r="AB18" s="344">
        <f>IF(ISNUMBER(Datos!R18),Datos!R18," - ")</f>
        <v>4</v>
      </c>
      <c r="AC18" s="344">
        <f t="shared" si="8"/>
        <v>99</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6</v>
      </c>
      <c r="AJ18" s="236" t="str">
        <f>IF(ISNUMBER(Datos!BW18),Datos!BW18," - ")</f>
        <v xml:space="preserve"> - </v>
      </c>
      <c r="AK18" s="237" t="str">
        <f>IF(ISNUMBER(Datos!BX18),Datos!BX18," - ")</f>
        <v xml:space="preserve"> - </v>
      </c>
      <c r="AL18" s="248">
        <f>IF(ISNUMBER(NºAsuntos!G18/NºAsuntos!E18),NºAsuntos!G18/NºAsuntos!E18," - ")</f>
        <v>1.05</v>
      </c>
      <c r="AM18" s="265">
        <f>IF(ISNUMBER(((NºAsuntos!I18/NºAsuntos!G18)*11)/factor_trimestre),((NºAsuntos!I18/NºAsuntos!G18)*11)/factor_trimestre," - ")</f>
        <v>2.7142857142857144</v>
      </c>
      <c r="AN18" s="249">
        <f>IF(ISNUMBER('Resol  Asuntos'!D18/NºAsuntos!G18),'Resol  Asuntos'!D18/NºAsuntos!G18," - ")</f>
        <v>5.7142857142857141E-2</v>
      </c>
      <c r="AO18" s="250">
        <f>IF(ISNUMBER((NºAsuntos!C18+NºAsuntos!E18)/NºAsuntos!G18),(NºAsuntos!C18+NºAsuntos!E18)/NºAsuntos!G18," - ")</f>
        <v>1.9047619047619047</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1055</v>
      </c>
      <c r="G20" s="1013">
        <f>SUBTOTAL(9,G16:G19)</f>
        <v>1155</v>
      </c>
      <c r="H20" s="1012">
        <f t="shared" ref="H20:O20" si="12">SUBTOTAL(9,H15:H19)</f>
        <v>0</v>
      </c>
      <c r="I20" s="1014">
        <f t="shared" si="12"/>
        <v>0</v>
      </c>
      <c r="J20" s="1014">
        <f t="shared" si="12"/>
        <v>0</v>
      </c>
      <c r="K20" s="1014">
        <f t="shared" si="12"/>
        <v>0</v>
      </c>
      <c r="L20" s="1014">
        <f t="shared" si="12"/>
        <v>43</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1617</v>
      </c>
      <c r="X20" s="1014">
        <f t="shared" si="13"/>
        <v>21</v>
      </c>
      <c r="Y20" s="1015">
        <f t="shared" si="13"/>
        <v>1638</v>
      </c>
      <c r="Z20" s="1015">
        <f t="shared" si="13"/>
        <v>0</v>
      </c>
      <c r="AA20" s="1015">
        <f t="shared" si="13"/>
        <v>1148</v>
      </c>
      <c r="AB20" s="1015">
        <f t="shared" si="13"/>
        <v>403</v>
      </c>
      <c r="AC20" s="1015">
        <f t="shared" si="13"/>
        <v>1551</v>
      </c>
      <c r="AD20" s="1015">
        <f t="shared" si="13"/>
        <v>0</v>
      </c>
      <c r="AE20" s="1019">
        <f t="shared" si="13"/>
        <v>0</v>
      </c>
      <c r="AF20" s="1012">
        <f t="shared" si="13"/>
        <v>0</v>
      </c>
      <c r="AG20" s="1020">
        <f t="shared" si="13"/>
        <v>0</v>
      </c>
      <c r="AH20" s="1017">
        <f t="shared" si="13"/>
        <v>0</v>
      </c>
      <c r="AI20" s="1012">
        <f t="shared" si="13"/>
        <v>177</v>
      </c>
      <c r="AJ20" s="1014">
        <f t="shared" si="13"/>
        <v>0</v>
      </c>
      <c r="AK20" s="1017">
        <f t="shared" si="13"/>
        <v>0</v>
      </c>
      <c r="AL20" s="1021">
        <f>IF(ISNUMBER(NºAsuntos!G20/NºAsuntos!E20),NºAsuntos!G20/NºAsuntos!E20," - ")</f>
        <v>1.0043478260869565</v>
      </c>
      <c r="AM20" s="1021">
        <f>IF(ISNUMBER(((NºAsuntos!I20/NºAsuntos!G20)*11)/factor_trimestre),((NºAsuntos!I20/NºAsuntos!G20)*11)/factor_trimestre," - ")</f>
        <v>2.1298701298701301</v>
      </c>
      <c r="AN20" s="1022">
        <f>IF(ISNUMBER('Resol  Asuntos'!D20/NºAsuntos!G20),'Resol  Asuntos'!D20/NºAsuntos!G20," - ")</f>
        <v>0.10946196660482375</v>
      </c>
      <c r="AO20" s="1023">
        <f>IF(ISNUMBER((NºAsuntos!C20+NºAsuntos!E20)/NºAsuntos!G20),(NºAsuntos!C20+NºAsuntos!E20)/NºAsuntos!G20," - ")</f>
        <v>1.7099567099567099</v>
      </c>
      <c r="AP20" s="1024" t="str">
        <f t="shared" si="2"/>
        <v xml:space="preserve"> - </v>
      </c>
      <c r="AQ20" s="1024">
        <f>IF(ISNUMBER((H20-W20+K20)/(F20)),(H20-W20+K20)/(F20)," - ")</f>
        <v>-1.5327014218009478</v>
      </c>
      <c r="AR20" s="1025">
        <f>IF(ISNUMBER((Datos!P20-Datos!Q20)/(Datos!R20-Datos!P20+Datos!Q20)),(Datos!P20-Datos!Q20)/(Datos!R20-Datos!P20+Datos!Q20)," - ")</f>
        <v>5.774278215223097E-2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12</v>
      </c>
      <c r="F21" s="967">
        <f t="shared" si="15"/>
        <v>1103</v>
      </c>
      <c r="G21" s="968">
        <f t="shared" si="15"/>
        <v>1203</v>
      </c>
      <c r="H21" s="967">
        <f t="shared" si="15"/>
        <v>0</v>
      </c>
      <c r="I21" s="969">
        <f t="shared" si="15"/>
        <v>0</v>
      </c>
      <c r="J21" s="969">
        <f t="shared" si="15"/>
        <v>0</v>
      </c>
      <c r="K21" s="1028">
        <f t="shared" si="15"/>
        <v>0</v>
      </c>
      <c r="L21" s="969">
        <f t="shared" si="15"/>
        <v>437</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1633</v>
      </c>
      <c r="X21" s="968">
        <f t="shared" si="16"/>
        <v>172</v>
      </c>
      <c r="Y21" s="975">
        <f t="shared" si="16"/>
        <v>1805</v>
      </c>
      <c r="Z21" s="975">
        <f t="shared" si="16"/>
        <v>0</v>
      </c>
      <c r="AA21" s="975">
        <f t="shared" si="16"/>
        <v>1199</v>
      </c>
      <c r="AB21" s="975">
        <f t="shared" si="16"/>
        <v>5352</v>
      </c>
      <c r="AC21" s="975">
        <f t="shared" si="16"/>
        <v>1624</v>
      </c>
      <c r="AD21" s="975">
        <f t="shared" si="16"/>
        <v>0</v>
      </c>
      <c r="AE21" s="977">
        <f t="shared" si="16"/>
        <v>0</v>
      </c>
      <c r="AF21" s="978">
        <f t="shared" si="16"/>
        <v>0</v>
      </c>
      <c r="AG21" s="979">
        <f t="shared" si="16"/>
        <v>0</v>
      </c>
      <c r="AH21" s="977">
        <f t="shared" si="16"/>
        <v>0</v>
      </c>
      <c r="AI21" s="967">
        <f t="shared" si="16"/>
        <v>544</v>
      </c>
      <c r="AJ21" s="967">
        <f t="shared" si="16"/>
        <v>0</v>
      </c>
      <c r="AK21" s="977">
        <f t="shared" si="16"/>
        <v>0</v>
      </c>
      <c r="AL21" s="1031">
        <f>IF(ISNUMBER(NºAsuntos!G21/NºAsuntos!E21),NºAsuntos!G21/NºAsuntos!E21," - ")</f>
        <v>0.97077009555930294</v>
      </c>
      <c r="AM21" s="1032">
        <f>IF(ISNUMBER(((NºAsuntos!I21/NºAsuntos!G21)*11)/factor_trimestre),((NºAsuntos!I21/NºAsuntos!G21)*11)/factor_trimestre," - ")</f>
        <v>3.938911407064273</v>
      </c>
      <c r="AN21" s="1032">
        <f>IF(ISNUMBER('Resol  Asuntos'!D21/NºAsuntos!G21),'Resol  Asuntos'!D21/NºAsuntos!G21," - ")</f>
        <v>0.157498552403011</v>
      </c>
      <c r="AO21" s="1033">
        <f>IF(ISNUMBER((NºAsuntos!C21+NºAsuntos!E21)/NºAsuntos!G21),(NºAsuntos!C21+NºAsuntos!E21)/NºAsuntos!G21," - ")</f>
        <v>2.3129704690214243</v>
      </c>
      <c r="AP21" s="1034" t="str">
        <f t="shared" si="2"/>
        <v xml:space="preserve"> - </v>
      </c>
      <c r="AQ21" s="1035">
        <f>IF(OR(ISNUMBER(FIND("01",Criterios!A8,1)),ISNUMBER(FIND("02",Criterios!A8,1)),ISNUMBER(FIND("03",Criterios!A8,1)),ISNUMBER(FIND("04",Criterios!A8,1))),(I21-W21+K21)/(F21-K21),(H21-W21+K21)/(F21-K21))</f>
        <v>-1.4805077062556664</v>
      </c>
      <c r="AR21" s="1036">
        <f>IF(ISNUMBER((Datos!P21-Datos!Q21)/(Datos!R21-Datos!P21+Datos!Q21)),(Datos!P21-Datos!Q21)/(Datos!R21-Datos!P21+Datos!Q21)," - ")</f>
        <v>5.2093571849813253E-2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481.2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3.027149874657078</v>
      </c>
      <c r="F23" s="257">
        <f>IF(ISNUMBER(STDEV(F8:F20)),STDEV(F8:F20),"-")</f>
        <v>581.39172107395314</v>
      </c>
      <c r="G23" s="258">
        <f>IF(ISNUMBER(STDEV(G8:G20)),STDEV(G8:G20),"-")</f>
        <v>570.94018951200133</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833.5194658794718</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159.34198023956733</v>
      </c>
      <c r="AJ23" s="257">
        <f t="shared" si="20"/>
        <v>0</v>
      </c>
      <c r="AK23" s="259">
        <f t="shared" si="20"/>
        <v>0</v>
      </c>
      <c r="AL23" s="254">
        <f t="shared" si="20"/>
        <v>7.2270339955306614E-2</v>
      </c>
      <c r="AM23" s="255">
        <f t="shared" si="20"/>
        <v>2.907111710973592</v>
      </c>
      <c r="AN23" s="255">
        <f t="shared" si="20"/>
        <v>0.15879224576746065</v>
      </c>
      <c r="AO23" s="256">
        <f t="shared" si="20"/>
        <v>0.96903723699119759</v>
      </c>
      <c r="AP23" s="296" t="str">
        <f t="shared" si="20"/>
        <v>-</v>
      </c>
      <c r="AQ23" s="297">
        <f t="shared" si="20"/>
        <v>0.84808130849419738</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NvNmaxxhqjCQMnDadVKKXbvyW3YHxI2TmcUMRv9Z42RvonouRSYhaE/06LYLw28gKdXEfzW9BsfEyGsobohW2g==" saltValue="3D5EUpFQfEpX7L21CAzu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SANT BOI DE LLOBREGAT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0.5</v>
      </c>
      <c r="E10" s="358">
        <f>IF(ISNUMBER((Datos!J10-Datos!T10)/Datos!T10),(Datos!J10-Datos!T10)/Datos!T10," - ")</f>
        <v>0.26666666666666666</v>
      </c>
      <c r="F10" s="358">
        <f>IF(ISNUMBER((Datos!K10-Datos!U10)/Datos!U10),(Datos!K10-Datos!U10)/Datos!U10," - ")</f>
        <v>0</v>
      </c>
      <c r="G10" s="359">
        <f>IF(ISNUMBER((Datos!L10-Datos!V10)/Datos!V10),(Datos!L10-Datos!V10)/Datos!V10," - ")</f>
        <v>0.64516129032258063</v>
      </c>
      <c r="H10" s="235">
        <f>IF(ISNUMBER((Datos!M10-Datos!W10)/Datos!W10),(Datos!M10-Datos!W10)/Datos!W10," - ")</f>
        <v>1</v>
      </c>
      <c r="I10" s="360">
        <f>IF(ISNUMBER((Tasas!C10-Datos!BE10)/Datos!BE10),(Tasas!C10-Datos!BE10)/Datos!BE10," - ")</f>
        <v>0.64516129032258063</v>
      </c>
      <c r="J10" s="359">
        <f>IF(ISNUMBER((Tasas!D10-Datos!BF10)/Datos!BF10),(Tasas!D10-Datos!BF10)/Datos!BF10," - ")</f>
        <v>1</v>
      </c>
      <c r="K10" s="361">
        <f>IF(ISNUMBER((Tasas!E10-Datos!BG10)/Datos!BG10),(Tasas!E10-Datos!BG10)/Datos!BG10," - ")</f>
        <v>0.42553191489361702</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0.39688715953307391</v>
      </c>
      <c r="I12" s="360">
        <f>IF(ISNUMBER((Tasas!C12-Datos!BE12)/Datos!BE12),(Tasas!C12-Datos!BE12)/Datos!BE12," - ")</f>
        <v>8.0016804897966892E-2</v>
      </c>
      <c r="J12" s="359">
        <f>IF(ISNUMBER((Tasas!D12-Datos!BF12)/Datos!BF12),(Tasas!D12-Datos!BF12)/Datos!BF12," - ")</f>
        <v>-0.62135387931669739</v>
      </c>
      <c r="K12" s="361">
        <f>IF(ISNUMBER((Tasas!E12-Datos!BG12)/Datos!BG12),(Tasas!E12-Datos!BG12)/Datos!BG12," - ")</f>
        <v>4.6096705402855397E-2</v>
      </c>
      <c r="M12" t="e">
        <f>IF(Monitorios="SI",Datos!CE12,0)</f>
        <v>#REF!</v>
      </c>
      <c r="N12" t="e">
        <f>IF(Monitorios="SI",Datos!CF12,0)</f>
        <v>#REF!</v>
      </c>
      <c r="O12" t="e">
        <f>IF(Monitorios="SI",Datos!CG12,0)</f>
        <v>#REF!</v>
      </c>
      <c r="P12" t="e">
        <f>IF(Monitorios="SI",Datos!CH12,0)</f>
        <v>#REF!</v>
      </c>
      <c r="Q12">
        <f>IF(J_V="SI",0,Datos!AG12)</f>
        <v>87</v>
      </c>
      <c r="R12">
        <f>IF(J_V="SI",0,Datos!AH12)</f>
        <v>413</v>
      </c>
      <c r="S12">
        <f>IF(J_V="SI",0,Datos!AI12)</f>
        <v>408</v>
      </c>
      <c r="T12">
        <f>IF(J_V="SI",0,Datos!AJ12)</f>
        <v>72</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0.4061302681992337</v>
      </c>
      <c r="I14" s="367">
        <f>IF(ISNUMBER((Tasas!C14-Datos!BE14)/Datos!BE14),(Tasas!C14-Datos!BE14)/Datos!BE14," - ")</f>
        <v>8.5490886645219963E-2</v>
      </c>
      <c r="J14" s="365">
        <f>IF(ISNUMBER((Tasas!D14-Datos!BF14)/Datos!BF14),(Tasas!D14-Datos!BF14)/Datos!BF14," - ")</f>
        <v>-0.6143576009210594</v>
      </c>
      <c r="K14" s="368">
        <f>IF(ISNUMBER((Tasas!E14-Datos!BG14)/Datos!BG14),(Tasas!E14-Datos!BG14)/Datos!BG14," - ")</f>
        <v>4.9598217410494264E-2</v>
      </c>
      <c r="M14" t="e">
        <f>IF(Monitorios="SI",Datos!CE14,0)</f>
        <v>#REF!</v>
      </c>
      <c r="N14" t="e">
        <f>IF(Monitorios="SI",Datos!CF14,0)</f>
        <v>#REF!</v>
      </c>
      <c r="O14" t="e">
        <f>IF(Monitorios="SI",Datos!CG14,0)</f>
        <v>#REF!</v>
      </c>
      <c r="P14" t="e">
        <f>IF(Monitorios="SI",Datos!CH14,0)</f>
        <v>#REF!</v>
      </c>
      <c r="Q14">
        <f>IF(J_V="SI",0,Datos!AG14)</f>
        <v>87</v>
      </c>
      <c r="R14">
        <f>IF(J_V="SI",0,Datos!AH14)</f>
        <v>413</v>
      </c>
      <c r="S14">
        <f>IF(J_V="SI",0,Datos!AI14)</f>
        <v>408</v>
      </c>
      <c r="T14">
        <f>IF(J_V="SI",0,Datos!AJ14)</f>
        <v>72</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0.24557260920897284</v>
      </c>
      <c r="E17" s="358">
        <f>IF(ISNUMBER(
   IF(D_I="SI",(Datos!J17-Datos!T17)/Datos!T17,(Datos!J17+Datos!AD17-(Datos!T17+Datos!AL17))/(Datos!T17+Datos!AL17))
     ),IF(D_I="SI",(Datos!J17-Datos!T17)/Datos!T17,(Datos!J17+Datos!AD17-(Datos!T17+Datos!AL17))/(Datos!T17+Datos!AL17))," - ")</f>
        <v>-0.10438908659549229</v>
      </c>
      <c r="F17" s="358">
        <f>IF(ISNUMBER(
   IF(D_I="SI",(Datos!K17-Datos!U17)/Datos!U17,(Datos!K17+Datos!AE17-(Datos!U17+Datos!AM17))/(Datos!U17+Datos!AM17))
     ),IF(D_I="SI",(Datos!K17-Datos!U17)/Datos!U17,(Datos!K17+Datos!AE17-(Datos!U17+Datos!AM17))/(Datos!U17+Datos!AM17))," - ")</f>
        <v>-2.9525032092426188E-2</v>
      </c>
      <c r="G17" s="359">
        <f>IF(ISNUMBER(
   IF(D_I="SI",(Datos!L17-Datos!V17)/Datos!V17,(Datos!L17+Datos!AF17-(Datos!V17+Datos!AN17))/(Datos!V17+Datos!AN17))
     ),IF(D_I="SI",(Datos!L17-Datos!V17)/Datos!V17,(Datos!L17+Datos!AF17-(Datos!V17+Datos!AN17))/(Datos!V17+Datos!AN17))," - ")</f>
        <v>7.8893442622950824E-2</v>
      </c>
      <c r="H17" s="235">
        <f>IF(ISNUMBER((Datos!M17-Datos!W17)/Datos!W17),(Datos!M17-Datos!W17)/Datos!W17," - ")</f>
        <v>-3.9325842696629212E-2</v>
      </c>
      <c r="I17" s="360">
        <f>IF(ISNUMBER((Tasas!C17-Datos!BE17)/Datos!BE17),(Tasas!C17-Datos!BE17)/Datos!BE17," - ")</f>
        <v>0.11171692037470722</v>
      </c>
      <c r="J17" s="359">
        <f>IF(ISNUMBER((Tasas!D17-Datos!BF17)/Datos!BF17),(Tasas!D17-Datos!BF17)/Datos!BF17," - ")</f>
        <v>-1.0098983413590206E-2</v>
      </c>
      <c r="K17" s="361">
        <f>IF(ISNUMBER((Tasas!E17-Datos!BG17)/Datos!BG17),(Tasas!E17-Datos!BG17)/Datos!BG17," - ")</f>
        <v>4.3440866279397639E-2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0.5625</v>
      </c>
      <c r="E18" s="358">
        <f>IF(ISNUMBER(
   IF(D_I="SI",(Datos!J18-Datos!T18)/Datos!T18,(Datos!J18+Datos!AD18-(Datos!T18+Datos!AL18))/(Datos!T18+Datos!AL18))
     ),IF(D_I="SI",(Datos!J18-Datos!T18)/Datos!T18,(Datos!J18+Datos!AD18-(Datos!T18+Datos!AL18))/(Datos!T18+Datos!AL18))," - ")</f>
        <v>-0.25925925925925924</v>
      </c>
      <c r="F18" s="358">
        <f>IF(ISNUMBER(
   IF(D_I="SI",(Datos!K18-Datos!U18)/Datos!U18,(Datos!K18+Datos!AE18-(Datos!U18+Datos!AM18))/(Datos!U18+Datos!AM18))
     ),IF(D_I="SI",(Datos!K18-Datos!U18)/Datos!U18,(Datos!K18+Datos!AE18-(Datos!U18+Datos!AM18))/(Datos!U18+Datos!AM18))," - ")</f>
        <v>0</v>
      </c>
      <c r="G18" s="359">
        <f>IF(ISNUMBER(
   IF(D_I="SI",(Datos!L18-Datos!V18)/Datos!V18,(Datos!L18+Datos!AF18-(Datos!V18+Datos!AN18))/(Datos!V18+Datos!AN18))
     ),IF(D_I="SI",(Datos!L18-Datos!V18)/Datos!V18,(Datos!L18+Datos!AF18-(Datos!V18+Datos!AN18))/(Datos!V18+Datos!AN18))," - ")</f>
        <v>1.0638297872340425E-2</v>
      </c>
      <c r="H18" s="235">
        <f>IF(ISNUMBER((Datos!M18-Datos!W18)/Datos!W18),(Datos!M18-Datos!W18)/Datos!W18," - ")</f>
        <v>-0.45454545454545453</v>
      </c>
      <c r="I18" s="360">
        <f>IF(ISNUMBER((Tasas!C18-Datos!BE18)/Datos!BE18),(Tasas!C18-Datos!BE18)/Datos!BE18," - ")</f>
        <v>1.0638297872340387E-2</v>
      </c>
      <c r="J18" s="359">
        <f>IF(ISNUMBER((Tasas!D18-Datos!BF18)/Datos!BF18),(Tasas!D18-Datos!BF18)/Datos!BF18," - ")</f>
        <v>-0.45454545454545459</v>
      </c>
      <c r="K18" s="361">
        <f>IF(ISNUMBER((Tasas!E18-Datos!BG18)/Datos!BG18),(Tasas!E18-Datos!BG18)/Datos!BG18," - ")</f>
        <v>5.0251256281406862E-3</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0.26783754116355651</v>
      </c>
      <c r="E20" s="364">
        <f>IF(ISNUMBER(
   IF(D_I="SI",(Datos!J20-Datos!T20)/Datos!T20,(Datos!J20+Datos!AD20-(Datos!T20+Datos!AL20))/(Datos!T20+Datos!AL20))
     ),IF(D_I="SI",(Datos!J20-Datos!T20)/Datos!T20,(Datos!J20+Datos!AD20-(Datos!T20+Datos!AL20))/(Datos!T20+Datos!AL20))," - ")</f>
        <v>-0.11587040087863811</v>
      </c>
      <c r="F20" s="364">
        <f>IF(ISNUMBER(
   IF(D_I="SI",(Datos!K20-Datos!U20)/Datos!U20,(Datos!K20+Datos!AE20-(Datos!U20+Datos!AM20))/(Datos!U20+Datos!AM20))
     ),IF(D_I="SI",(Datos!K20-Datos!U20)/Datos!U20,(Datos!K20+Datos!AE20-(Datos!U20+Datos!AM20))/(Datos!U20+Datos!AM20))," - ")</f>
        <v>-2.7660853878532773E-2</v>
      </c>
      <c r="G20" s="365">
        <f>IF(ISNUMBER(
   IF(D_I="SI",(Datos!L20-Datos!V20)/Datos!V20,(Datos!L20+Datos!AF20-(Datos!V20+Datos!AN20))/(Datos!V20+Datos!AN20))
     ),IF(D_I="SI",(Datos!L20-Datos!V20)/Datos!V20,(Datos!L20+Datos!AF20-(Datos!V20+Datos!AN20))/(Datos!V20+Datos!AN20))," - ")</f>
        <v>7.2897196261682243E-2</v>
      </c>
      <c r="H20" s="366">
        <f>IF(ISNUMBER((Datos!M20-Datos!W20)/Datos!W20),(Datos!M20-Datos!W20)/Datos!W20," - ")</f>
        <v>-6.3492063492063489E-2</v>
      </c>
      <c r="I20" s="367">
        <f>IF(ISNUMBER((Tasas!C20-Datos!BE20)/Datos!BE20),(Tasas!C20-Datos!BE20)/Datos!BE20," - ")</f>
        <v>0.10341869968038192</v>
      </c>
      <c r="J20" s="365">
        <f>IF(ISNUMBER((Tasas!D20-Datos!BF20)/Datos!BF20),(Tasas!D20-Datos!BF20)/Datos!BF20," - ")</f>
        <v>-3.6850526646444941E-2</v>
      </c>
      <c r="K20" s="368">
        <f>IF(ISNUMBER((Tasas!E20-Datos!BG20)/Datos!BG20),(Tasas!E20-Datos!BG20)/Datos!BG20," - ")</f>
        <v>4.0870427766474586E-2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0.22032497934453318</v>
      </c>
      <c r="E21" s="373">
        <f>IF(ISNUMBER(
   IF(J_V="SI",(Datos!J21-Datos!T21)/Datos!T21,(Datos!J21+Datos!Z21-(Datos!T21+Datos!AH21))/(Datos!T21+Datos!AH21))
     ),IF(J_V="SI",(Datos!J21-Datos!T21)/Datos!T21,(Datos!J21+Datos!Z21-(Datos!T21+Datos!AH21))/(Datos!T21+Datos!AH21))," - ")</f>
        <v>-1.2763596004439512E-2</v>
      </c>
      <c r="F21" s="373">
        <f>IF(ISNUMBER(
   IF(J_V="SI",(Datos!K21-Datos!U21)/Datos!U21,(Datos!K21+Datos!AA21-(Datos!U21+Datos!AI21))/(Datos!U21+Datos!AI21))
     ),IF(J_V="SI",(Datos!K21-Datos!U21)/Datos!U21,(Datos!K21+Datos!AA21-(Datos!U21+Datos!AI21))/(Datos!U21+Datos!AI21))," - ")</f>
        <v>3.879699248120301E-2</v>
      </c>
      <c r="G21" s="374">
        <f>IF(ISNUMBER(
   IF(J_V="SI",(Datos!L21-Datos!V21)/Datos!V21,(Datos!L21+Datos!AB21-(Datos!V21+Datos!AJ21))/(Datos!V21+Datos!AJ21))
     ),IF(J_V="SI",(Datos!L21-Datos!V21)/Datos!V21,(Datos!L21+Datos!AB21-(Datos!V21+Datos!AJ21))/(Datos!V21+Datos!AJ21))," - ")</f>
        <v>0.16491137939892114</v>
      </c>
      <c r="H21" s="375">
        <f>IF(ISNUMBER((Datos!M21-Datos!W21)/Datos!W21),(Datos!M21-Datos!W21)/Datos!W21," - ")</f>
        <v>0.2088888888888889</v>
      </c>
      <c r="I21" s="372">
        <f>IF(ISNUMBER((Tasas!C21-Datos!BE21)/Datos!BE21),(Tasas!C21-Datos!BE21)/Datos!BE21," - ")</f>
        <v>0.12140426650301456</v>
      </c>
      <c r="J21" s="373">
        <f>IF(ISNUMBER((Tasas!D21-Datos!BF21)/Datos!BF21),(Tasas!D21-Datos!BF21)/Datos!BF21," - ")</f>
        <v>-0.50125458405713186</v>
      </c>
      <c r="K21" s="374">
        <f>IF(ISNUMBER((Tasas!E21-Datos!BG21)/Datos!BG21),(Tasas!E21-Datos!BG21)/Datos!BG21," - ")</f>
        <v>6.2975371043018133E-2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0.16080620255289763</v>
      </c>
      <c r="E23" s="283">
        <f t="shared" si="1"/>
        <v>0.22459074173972957</v>
      </c>
      <c r="F23" s="283">
        <f t="shared" si="1"/>
        <v>1.6525676675782024E-2</v>
      </c>
      <c r="G23" s="284">
        <f t="shared" si="1"/>
        <v>0.29711610901320012</v>
      </c>
      <c r="H23" s="290">
        <f t="shared" si="1"/>
        <v>0.50518145993755248</v>
      </c>
      <c r="I23" s="282">
        <f t="shared" si="1"/>
        <v>0.23417860491403458</v>
      </c>
      <c r="J23" s="283">
        <f t="shared" si="1"/>
        <v>0.61335284067052753</v>
      </c>
      <c r="K23" s="284">
        <f t="shared" si="1"/>
        <v>0.15944516554908597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bkZcXRVJfLJTM4sUqg0zdTphWxQdlt9zx3bHiKnM1ex9J5Ug0kBPA0Qyu7Jn0aW+W+jWsq3SmpLJYaVt6t5xNA==" saltValue="tu6zHAJY3TFBiiu6yBdbX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48</v>
      </c>
      <c r="D10" s="230">
        <f>IF(ISNUMBER(Datos!I10),Datos!I10," - ")</f>
        <v>48</v>
      </c>
      <c r="E10" s="231">
        <f>IF(ISNUMBER(Datos!J10),Datos!J10," - ")</f>
        <v>19</v>
      </c>
      <c r="F10" s="231">
        <f>IF(ISNUMBER(Datos!K10),Datos!K10," - ")</f>
        <v>16</v>
      </c>
      <c r="G10" s="1193" t="str">
        <f>IF(Datos!E10&lt;&gt;"",Datos!E10,Datos!D10)</f>
        <v>37</v>
      </c>
      <c r="H10" s="232">
        <f>IF(ISNUMBER(Datos!L10),Datos!L10," - ")</f>
        <v>51</v>
      </c>
      <c r="I10" s="1203" t="str">
        <f>IF(ISNUMBER(Datos!AS10/Datos!BM10),Datos!AS10/Datos!BM10," - ")</f>
        <v xml:space="preserve"> - </v>
      </c>
      <c r="J10" s="1204">
        <f>IF(ISNUMBER(Datos!BY10/Datos!CN10),Datos!BY10/Datos!CN10," - ")</f>
        <v>0</v>
      </c>
      <c r="K10" s="235">
        <f t="shared" ref="K10:K13" si="1">IF(ISNUMBER((E10-F10)/C10),(E10-F10)/C10," - ")</f>
        <v>6.25E-2</v>
      </c>
      <c r="L10" s="1205">
        <f>IF(ISNUMBER(NºAsuntos!I10/NºAsuntos!G10),(NºAsuntos!I10/NºAsuntos!G10)*11," - ")</f>
        <v>35.0625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6</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20.151565074135089</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48</v>
      </c>
      <c r="D14" s="1210">
        <f>SUBTOTAL(9,D9:D13)</f>
        <v>48</v>
      </c>
      <c r="E14" s="1211">
        <f>SUBTOTAL(9,E9:E13)</f>
        <v>19</v>
      </c>
      <c r="F14" s="1212">
        <f>SUBTOTAL(9,F9:F13)</f>
        <v>16</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6</v>
      </c>
      <c r="B17" s="1258" t="str">
        <f>Datos!A17</f>
        <v xml:space="preserve">Jdos. 1ª Instª. e Instr.                        </v>
      </c>
      <c r="C17" s="230">
        <f t="shared" si="2"/>
        <v>1055</v>
      </c>
      <c r="D17" s="230">
        <f>IF(ISNUMBER(IF(D_I="SI",Datos!I17,Datos!I17+Datos!AC17)),IF(D_I="SI",Datos!I17,Datos!I17+Datos!AC17)," - ")</f>
        <v>1055</v>
      </c>
      <c r="E17" s="231">
        <f>IF(ISNUMBER(IF(D_I="SI",Datos!J17,Datos!J17+Datos!AD17)),IF(D_I="SI",Datos!J17,Datos!J17+Datos!AD17)," - ")</f>
        <v>1510</v>
      </c>
      <c r="F17" s="231">
        <f>IF(ISNUMBER(IF(D_I="SI",Datos!K17,Datos!K17+Datos!AE17)),IF(D_I="SI",Datos!K17,Datos!K17+Datos!AE17)," - ")</f>
        <v>1512</v>
      </c>
      <c r="G17" s="1193" t="str">
        <f>IF(Datos!E17&lt;&gt;"",Datos!E17,Datos!D17)</f>
        <v>04</v>
      </c>
      <c r="H17" s="232">
        <f>IF(ISNUMBER(IF(D_I="SI",Datos!L17,Datos!L17+Datos!AF17)),IF(D_I="SI",Datos!L17,Datos!L17+Datos!AF17)," - ")</f>
        <v>1053</v>
      </c>
      <c r="I17" s="1203" t="str">
        <f>IF(ISNUMBER(Datos!AS17/Datos!BM17),Datos!AS17/Datos!BM17," - ")</f>
        <v xml:space="preserve"> - </v>
      </c>
      <c r="J17" s="1204">
        <f>IF(ISNUMBER(Datos!BY17/Datos!CN17),Datos!BY17/Datos!CN17," - ")</f>
        <v>0</v>
      </c>
      <c r="K17" s="235">
        <f t="shared" si="3"/>
        <v>-1.8957345971563982E-3</v>
      </c>
      <c r="L17" s="1205">
        <f>IF(ISNUMBER(NºAsuntos!I17/NºAsuntos!G17),(NºAsuntos!I17/NºAsuntos!G17)*11," - ")</f>
        <v>7.6607142857142856</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100</v>
      </c>
      <c r="D18" s="230">
        <f>IF(ISNUMBER(IF(D_I="SI",Datos!I18,Datos!I18+Datos!AC18)),IF(D_I="SI",Datos!I18,Datos!I18+Datos!AC18)," - ")</f>
        <v>100</v>
      </c>
      <c r="E18" s="231">
        <f>IF(ISNUMBER(IF(D_I="SI",Datos!J18,Datos!J18+Datos!AD18)),IF(D_I="SI",Datos!J18,Datos!J18+Datos!AD18)," - ")</f>
        <v>100</v>
      </c>
      <c r="F18" s="231">
        <f>IF(ISNUMBER(IF(D_I="SI",Datos!K18,Datos!K18+Datos!AE18)),IF(D_I="SI",Datos!K18,Datos!K18+Datos!AE18)," - ")</f>
        <v>105</v>
      </c>
      <c r="G18" s="1193" t="str">
        <f>IF(Datos!E18&lt;&gt;"",Datos!E18,Datos!D18)</f>
        <v>37</v>
      </c>
      <c r="H18" s="232">
        <f>IF(ISNUMBER(IF(D_I="SI",Datos!L18,Datos!L18+Datos!AF18)),IF(D_I="SI",Datos!L18,Datos!L18+Datos!AF18)," - ")</f>
        <v>95</v>
      </c>
      <c r="I18" s="1203" t="str">
        <f>IF(ISNUMBER(Datos!AS18/Datos!BM18),Datos!AS18/Datos!BM18," - ")</f>
        <v xml:space="preserve"> - </v>
      </c>
      <c r="J18" s="1204" t="str">
        <f>IF(ISNUMBER((Datos!BY18+Datos!BZ18)/Datos!CN18),(Datos!BY18+Datos!BZ18)/Datos!CN18," - ")</f>
        <v xml:space="preserve"> - </v>
      </c>
      <c r="K18" s="235">
        <f t="shared" si="3"/>
        <v>-0.05</v>
      </c>
      <c r="L18" s="1205">
        <f>IF(ISNUMBER(NºAsuntos!I18/NºAsuntos!G18),(NºAsuntos!I18/NºAsuntos!G18)*11," - ")</f>
        <v>9.9523809523809526</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1155</v>
      </c>
      <c r="D20" s="1210">
        <f>SUBTOTAL(9,D16:D19)</f>
        <v>1155</v>
      </c>
      <c r="E20" s="1211">
        <f>SUBTOTAL(9,E16:E19)</f>
        <v>1610</v>
      </c>
      <c r="F20" s="1211">
        <f>SUBTOTAL(9,F16:F19)</f>
        <v>1617</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1203</v>
      </c>
      <c r="D21" s="1232">
        <f>SUBTOTAL(9,D9:D20)</f>
        <v>1203</v>
      </c>
      <c r="E21" s="1233">
        <f>SUBTOTAL(9,E9:E20)</f>
        <v>1629</v>
      </c>
      <c r="F21" s="1233">
        <f>SUBTOTAL(9,F9:F20)</f>
        <v>1633</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CYF8CUxr+y7lT1JPK3A7vG1iVNNBWEgZl0OpdA7w0UXH/HjtE9koBzPU2E8xu7OfdQAOhyspIS3rMxb6Q8BDxA==" saltValue="U0h1qArQ1XnZgWkCpb8Gf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pYWRfP2SzFm6nBHERaRwvQEz51vWsQ1ErHSB9vaMcmJl4x44orKJLluF8yGAgiB3h5VVJ2mAk+DZNdmjOLwEyg==" saltValue="D9FfRXnqOwTX2TCc+du6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48</v>
      </c>
      <c r="J10" s="186">
        <v>19</v>
      </c>
      <c r="K10" s="186">
        <v>16</v>
      </c>
      <c r="L10" s="186">
        <v>51</v>
      </c>
      <c r="M10" s="186">
        <v>8</v>
      </c>
      <c r="N10" s="186">
        <v>5</v>
      </c>
      <c r="O10" s="186">
        <v>0</v>
      </c>
      <c r="P10" s="186">
        <v>2</v>
      </c>
      <c r="Q10" s="186">
        <v>1</v>
      </c>
      <c r="R10" s="186">
        <v>22</v>
      </c>
      <c r="S10" s="186">
        <v>32</v>
      </c>
      <c r="T10" s="186">
        <v>15</v>
      </c>
      <c r="U10" s="186">
        <v>16</v>
      </c>
      <c r="V10" s="186">
        <v>31</v>
      </c>
      <c r="W10" s="186">
        <v>4</v>
      </c>
      <c r="X10" s="193">
        <v>6</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32</v>
      </c>
      <c r="AZ10" s="131">
        <f t="shared" si="0"/>
        <v>15</v>
      </c>
      <c r="BA10" s="131">
        <f t="shared" si="0"/>
        <v>16</v>
      </c>
      <c r="BB10" s="131">
        <f t="shared" si="0"/>
        <v>31</v>
      </c>
      <c r="BC10" s="127">
        <f t="shared" si="0"/>
        <v>4</v>
      </c>
      <c r="BD10" s="128">
        <f>IF(ISNUMBER(BA10/AZ10),BA10/AZ10," - ")</f>
        <v>1.0666666666666667</v>
      </c>
      <c r="BE10" s="129">
        <f>IF(ISNUMBER(BB10/BA10),BB10/BA10, " - ")</f>
        <v>1.9375</v>
      </c>
      <c r="BF10" s="129">
        <f>IF(ISNUMBER(BC10/BA10),BC10/BA10, " - ")</f>
        <v>0.25</v>
      </c>
      <c r="BG10" s="201">
        <f>IF(ISNUMBER((AY10+AZ10)/BA10),(AY10+AZ10)/BA10," - ")</f>
        <v>2.9375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3101</v>
      </c>
      <c r="J12" s="188">
        <v>1479</v>
      </c>
      <c r="K12" s="188">
        <v>1354</v>
      </c>
      <c r="L12" s="188">
        <v>3226</v>
      </c>
      <c r="M12" s="188">
        <v>359</v>
      </c>
      <c r="N12" s="188">
        <v>868</v>
      </c>
      <c r="O12" s="186">
        <v>645</v>
      </c>
      <c r="P12" s="188">
        <v>392</v>
      </c>
      <c r="Q12" s="188">
        <v>150</v>
      </c>
      <c r="R12" s="188">
        <v>4927</v>
      </c>
      <c r="S12" s="188">
        <v>2601</v>
      </c>
      <c r="T12" s="188">
        <v>1355</v>
      </c>
      <c r="U12" s="188">
        <v>1238</v>
      </c>
      <c r="V12" s="188">
        <v>2720</v>
      </c>
      <c r="W12" s="188">
        <v>257</v>
      </c>
      <c r="X12" s="194">
        <v>857</v>
      </c>
      <c r="Y12" s="196">
        <v>127</v>
      </c>
      <c r="Z12" s="186">
        <v>450</v>
      </c>
      <c r="AA12" s="186">
        <v>467</v>
      </c>
      <c r="AB12" s="186">
        <v>110</v>
      </c>
      <c r="AC12" s="188">
        <v>0</v>
      </c>
      <c r="AD12" s="188">
        <v>0</v>
      </c>
      <c r="AE12" s="188">
        <v>0</v>
      </c>
      <c r="AF12" s="194">
        <v>0</v>
      </c>
      <c r="AG12" s="207">
        <v>87</v>
      </c>
      <c r="AH12" s="188">
        <v>413</v>
      </c>
      <c r="AI12" s="188">
        <v>408</v>
      </c>
      <c r="AJ12" s="208">
        <v>72</v>
      </c>
      <c r="AK12" s="187">
        <v>0</v>
      </c>
      <c r="AL12" s="188">
        <v>0</v>
      </c>
      <c r="AM12" s="188">
        <v>0</v>
      </c>
      <c r="AN12" s="194">
        <v>0</v>
      </c>
      <c r="AO12" s="264">
        <v>6</v>
      </c>
      <c r="AP12" s="160">
        <v>6</v>
      </c>
      <c r="AQ12" s="160">
        <v>6</v>
      </c>
      <c r="AR12" s="159">
        <v>6</v>
      </c>
      <c r="AS12" s="350" t="s">
        <v>874</v>
      </c>
      <c r="AT12" s="208"/>
      <c r="AU12" s="207"/>
      <c r="AV12" s="208"/>
      <c r="AW12" s="207"/>
      <c r="AX12" s="208"/>
      <c r="AY12" s="128">
        <f t="shared" si="1"/>
        <v>2688</v>
      </c>
      <c r="AZ12" s="129">
        <f t="shared" si="1"/>
        <v>1768</v>
      </c>
      <c r="BA12" s="129">
        <f t="shared" si="1"/>
        <v>1646</v>
      </c>
      <c r="BB12" s="129">
        <f t="shared" si="1"/>
        <v>2792</v>
      </c>
      <c r="BC12" s="127">
        <f>IF(ISNUMBER(X12),X12," - ")</f>
        <v>857</v>
      </c>
      <c r="BD12" s="128">
        <f t="shared" si="2"/>
        <v>0.9309954751131222</v>
      </c>
      <c r="BE12" s="129">
        <f t="shared" si="3"/>
        <v>1.6962332928311057</v>
      </c>
      <c r="BF12" s="129">
        <f t="shared" si="4"/>
        <v>0.52065613608748484</v>
      </c>
      <c r="BG12" s="201">
        <f t="shared" si="5"/>
        <v>2.7071688942891861</v>
      </c>
      <c r="BH12" s="160">
        <v>6</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3149</v>
      </c>
      <c r="J14" s="189">
        <f t="shared" si="7"/>
        <v>1498</v>
      </c>
      <c r="K14" s="189">
        <f t="shared" si="7"/>
        <v>1370</v>
      </c>
      <c r="L14" s="189">
        <f t="shared" si="7"/>
        <v>3277</v>
      </c>
      <c r="M14" s="189">
        <f t="shared" si="7"/>
        <v>367</v>
      </c>
      <c r="N14" s="189">
        <f t="shared" si="7"/>
        <v>873</v>
      </c>
      <c r="O14" s="189">
        <f t="shared" si="7"/>
        <v>645</v>
      </c>
      <c r="P14" s="189">
        <f t="shared" si="7"/>
        <v>394</v>
      </c>
      <c r="Q14" s="189">
        <f t="shared" si="7"/>
        <v>151</v>
      </c>
      <c r="R14" s="189">
        <f t="shared" si="7"/>
        <v>4949</v>
      </c>
      <c r="S14" s="189">
        <f t="shared" si="7"/>
        <v>2633</v>
      </c>
      <c r="T14" s="189">
        <f t="shared" si="7"/>
        <v>1370</v>
      </c>
      <c r="U14" s="189">
        <f t="shared" si="7"/>
        <v>1254</v>
      </c>
      <c r="V14" s="189">
        <f t="shared" si="7"/>
        <v>2751</v>
      </c>
      <c r="W14" s="189">
        <f t="shared" si="7"/>
        <v>261</v>
      </c>
      <c r="X14" s="189">
        <f t="shared" si="7"/>
        <v>863</v>
      </c>
      <c r="Y14" s="189">
        <f t="shared" si="7"/>
        <v>127</v>
      </c>
      <c r="Z14" s="189">
        <f t="shared" si="7"/>
        <v>450</v>
      </c>
      <c r="AA14" s="189">
        <f t="shared" si="7"/>
        <v>467</v>
      </c>
      <c r="AB14" s="189">
        <f t="shared" si="7"/>
        <v>110</v>
      </c>
      <c r="AC14" s="189">
        <f t="shared" si="7"/>
        <v>0</v>
      </c>
      <c r="AD14" s="189">
        <f t="shared" si="7"/>
        <v>0</v>
      </c>
      <c r="AE14" s="189">
        <f t="shared" si="7"/>
        <v>0</v>
      </c>
      <c r="AF14" s="189">
        <f>SUBTOTAL(9,AF9:AF13)</f>
        <v>0</v>
      </c>
      <c r="AG14" s="189">
        <f t="shared" ref="AG14:AT14" si="8">SUBTOTAL(9,AG8:AG13)</f>
        <v>87</v>
      </c>
      <c r="AH14" s="189">
        <f t="shared" si="8"/>
        <v>413</v>
      </c>
      <c r="AI14" s="189">
        <f t="shared" si="8"/>
        <v>408</v>
      </c>
      <c r="AJ14" s="189">
        <f t="shared" si="8"/>
        <v>72</v>
      </c>
      <c r="AK14" s="189">
        <f t="shared" si="8"/>
        <v>0</v>
      </c>
      <c r="AL14" s="189">
        <f t="shared" si="8"/>
        <v>0</v>
      </c>
      <c r="AM14" s="189">
        <f t="shared" si="8"/>
        <v>0</v>
      </c>
      <c r="AN14" s="189">
        <f t="shared" si="8"/>
        <v>0</v>
      </c>
      <c r="AO14" s="189">
        <f t="shared" si="8"/>
        <v>7</v>
      </c>
      <c r="AP14" s="189">
        <f t="shared" si="8"/>
        <v>6</v>
      </c>
      <c r="AQ14" s="189">
        <f t="shared" si="8"/>
        <v>6</v>
      </c>
      <c r="AR14" s="189">
        <f t="shared" si="8"/>
        <v>6</v>
      </c>
      <c r="AS14" s="189">
        <f t="shared" si="8"/>
        <v>0</v>
      </c>
      <c r="AT14" s="189">
        <f t="shared" si="8"/>
        <v>0</v>
      </c>
      <c r="AU14" s="209"/>
      <c r="AV14" s="134"/>
      <c r="AW14" s="209"/>
      <c r="AX14" s="134"/>
      <c r="AY14" s="189">
        <f>SUBTOTAL(9,AY8:AY13)</f>
        <v>2720</v>
      </c>
      <c r="AZ14" s="189">
        <f>SUBTOTAL(9,AZ8:AZ13)</f>
        <v>1783</v>
      </c>
      <c r="BA14" s="189">
        <f>SUBTOTAL(9,BA8:BA13)</f>
        <v>1662</v>
      </c>
      <c r="BB14" s="189">
        <f>SUBTOTAL(9,BB8:BB13)</f>
        <v>2823</v>
      </c>
      <c r="BC14" s="189">
        <f>SUBTOTAL(9,BC8:BC13)</f>
        <v>861</v>
      </c>
      <c r="BD14" s="210">
        <f>IF(ISNUMBER(BA14/AZ14),BA14/AZ14," - ")</f>
        <v>0.93213684800897367</v>
      </c>
      <c r="BE14" s="211">
        <f>IF(ISNUMBER(BB14/BA14),BB14/BA14, " - ")</f>
        <v>1.6985559566787003</v>
      </c>
      <c r="BF14" s="211">
        <f>IF(ISNUMBER(BC14/BA14),BC14/BA14, " - ")</f>
        <v>0.51805054151624552</v>
      </c>
      <c r="BG14" s="212">
        <f>IF(ISNUMBER((AY14+AZ14)/BA14),(AY14+AZ14)/BA14," - ")</f>
        <v>2.7093862815884475</v>
      </c>
      <c r="BH14" s="145">
        <f>SUBTOTAL(9,BH8:BH13)</f>
        <v>7</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1055</v>
      </c>
      <c r="J17" s="188">
        <v>1510</v>
      </c>
      <c r="K17" s="188">
        <v>1512</v>
      </c>
      <c r="L17" s="188">
        <v>1053</v>
      </c>
      <c r="M17" s="188">
        <v>171</v>
      </c>
      <c r="N17" s="188">
        <v>1137</v>
      </c>
      <c r="O17" s="186">
        <v>0</v>
      </c>
      <c r="P17" s="188">
        <v>41</v>
      </c>
      <c r="Q17" s="188">
        <v>20</v>
      </c>
      <c r="R17" s="188">
        <v>399</v>
      </c>
      <c r="S17" s="188">
        <v>847</v>
      </c>
      <c r="T17" s="188">
        <v>1686</v>
      </c>
      <c r="U17" s="188">
        <v>1558</v>
      </c>
      <c r="V17" s="188">
        <v>976</v>
      </c>
      <c r="W17" s="188">
        <v>178</v>
      </c>
      <c r="X17" s="194">
        <v>1182</v>
      </c>
      <c r="Y17" s="207">
        <v>0</v>
      </c>
      <c r="Z17" s="188">
        <v>0</v>
      </c>
      <c r="AA17" s="188">
        <v>0</v>
      </c>
      <c r="AB17" s="188">
        <v>0</v>
      </c>
      <c r="AC17" s="188">
        <v>0</v>
      </c>
      <c r="AD17" s="188">
        <v>0</v>
      </c>
      <c r="AE17" s="188">
        <v>0</v>
      </c>
      <c r="AF17" s="194">
        <v>0</v>
      </c>
      <c r="AG17" s="207">
        <v>0</v>
      </c>
      <c r="AH17" s="188">
        <v>0</v>
      </c>
      <c r="AI17" s="188">
        <v>0</v>
      </c>
      <c r="AJ17" s="208">
        <v>0</v>
      </c>
      <c r="AK17" s="187">
        <v>0</v>
      </c>
      <c r="AL17" s="188">
        <v>9</v>
      </c>
      <c r="AM17" s="188">
        <v>9</v>
      </c>
      <c r="AN17" s="194">
        <v>0</v>
      </c>
      <c r="AO17" s="264">
        <v>6</v>
      </c>
      <c r="AP17" s="160">
        <v>6</v>
      </c>
      <c r="AQ17" s="160">
        <v>6</v>
      </c>
      <c r="AR17" s="160">
        <v>6</v>
      </c>
      <c r="AS17" s="350" t="s">
        <v>545</v>
      </c>
      <c r="AT17" s="208"/>
      <c r="AU17" s="207"/>
      <c r="AV17" s="208"/>
      <c r="AW17" s="207"/>
      <c r="AX17" s="208"/>
      <c r="AY17" s="128">
        <f t="shared" si="10"/>
        <v>847</v>
      </c>
      <c r="AZ17" s="129">
        <f t="shared" si="10"/>
        <v>1686</v>
      </c>
      <c r="BA17" s="129">
        <f t="shared" si="10"/>
        <v>1558</v>
      </c>
      <c r="BB17" s="129">
        <f t="shared" si="10"/>
        <v>976</v>
      </c>
      <c r="BC17" s="127">
        <f>IF(ISNUMBER(W17),W17," - ")</f>
        <v>178</v>
      </c>
      <c r="BD17" s="128">
        <f t="shared" ref="BD17:BD19" si="12">IF(ISNUMBER(BA17/AZ17),BA17/AZ17," - ")</f>
        <v>0.92408066429418745</v>
      </c>
      <c r="BE17" s="129">
        <f t="shared" ref="BE17:BE19" si="13">IF(ISNUMBER(BB17/BA17),BB17/BA17, " - ")</f>
        <v>0.62644415917843388</v>
      </c>
      <c r="BF17" s="129">
        <f t="shared" ref="BF17:BF19" si="14">IF(ISNUMBER(BC17/BA17),BC17/BA17, " - ")</f>
        <v>0.11424903722721438</v>
      </c>
      <c r="BG17" s="201">
        <f t="shared" si="11"/>
        <v>1.6258023106546855</v>
      </c>
      <c r="BH17" s="160">
        <v>6</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100</v>
      </c>
      <c r="J18" s="188">
        <v>100</v>
      </c>
      <c r="K18" s="188">
        <v>105</v>
      </c>
      <c r="L18" s="188">
        <v>95</v>
      </c>
      <c r="M18" s="188">
        <v>6</v>
      </c>
      <c r="N18" s="188">
        <v>92</v>
      </c>
      <c r="O18" s="188">
        <v>0</v>
      </c>
      <c r="P18" s="188">
        <v>2</v>
      </c>
      <c r="Q18" s="188">
        <v>1</v>
      </c>
      <c r="R18" s="188">
        <v>4</v>
      </c>
      <c r="S18" s="188">
        <v>64</v>
      </c>
      <c r="T18" s="188">
        <v>135</v>
      </c>
      <c r="U18" s="188">
        <v>105</v>
      </c>
      <c r="V18" s="188">
        <v>94</v>
      </c>
      <c r="W18" s="188">
        <v>11</v>
      </c>
      <c r="X18" s="194">
        <v>47</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64</v>
      </c>
      <c r="AZ18" s="131">
        <f t="shared" si="15"/>
        <v>135</v>
      </c>
      <c r="BA18" s="131">
        <f t="shared" si="15"/>
        <v>105</v>
      </c>
      <c r="BB18" s="131">
        <f t="shared" si="15"/>
        <v>94</v>
      </c>
      <c r="BC18" s="127">
        <f>IF(ISNUMBER(W18),W18," - ")</f>
        <v>11</v>
      </c>
      <c r="BD18" s="128">
        <f>IF(ISNUMBER(BA18/AZ18),BA18/AZ18," - ")</f>
        <v>0.77777777777777779</v>
      </c>
      <c r="BE18" s="129">
        <f>IF(ISNUMBER(BB18/BA18),BB18/BA18, " - ")</f>
        <v>0.89523809523809528</v>
      </c>
      <c r="BF18" s="129">
        <f>IF(ISNUMBER(BC18/BA18),BC18/BA18, " - ")</f>
        <v>0.10476190476190476</v>
      </c>
      <c r="BG18" s="201">
        <f>IF(ISNUMBER((AY18+AZ18)/BA18),(AY18+AZ18)/BA18," - ")</f>
        <v>1.8952380952380952</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1155</v>
      </c>
      <c r="J20" s="189">
        <f t="shared" si="16"/>
        <v>1610</v>
      </c>
      <c r="K20" s="189">
        <f t="shared" si="16"/>
        <v>1617</v>
      </c>
      <c r="L20" s="189">
        <f t="shared" si="16"/>
        <v>1148</v>
      </c>
      <c r="M20" s="189">
        <f t="shared" si="16"/>
        <v>177</v>
      </c>
      <c r="N20" s="189">
        <f t="shared" si="16"/>
        <v>1229</v>
      </c>
      <c r="O20" s="189">
        <f t="shared" si="16"/>
        <v>0</v>
      </c>
      <c r="P20" s="189">
        <f t="shared" si="16"/>
        <v>43</v>
      </c>
      <c r="Q20" s="189">
        <f t="shared" si="16"/>
        <v>21</v>
      </c>
      <c r="R20" s="189">
        <f t="shared" si="16"/>
        <v>403</v>
      </c>
      <c r="S20" s="189">
        <f t="shared" si="16"/>
        <v>911</v>
      </c>
      <c r="T20" s="189">
        <f t="shared" si="16"/>
        <v>1821</v>
      </c>
      <c r="U20" s="189">
        <f t="shared" si="16"/>
        <v>1663</v>
      </c>
      <c r="V20" s="189">
        <f t="shared" si="16"/>
        <v>1070</v>
      </c>
      <c r="W20" s="189">
        <f t="shared" si="16"/>
        <v>189</v>
      </c>
      <c r="X20" s="189">
        <f t="shared" si="16"/>
        <v>1229</v>
      </c>
      <c r="Y20" s="189">
        <f t="shared" si="16"/>
        <v>0</v>
      </c>
      <c r="Z20" s="189">
        <f t="shared" si="16"/>
        <v>0</v>
      </c>
      <c r="AA20" s="189">
        <f t="shared" si="16"/>
        <v>0</v>
      </c>
      <c r="AB20" s="189">
        <f t="shared" si="16"/>
        <v>0</v>
      </c>
      <c r="AC20" s="189">
        <f t="shared" si="16"/>
        <v>0</v>
      </c>
      <c r="AD20" s="189">
        <f t="shared" si="16"/>
        <v>0</v>
      </c>
      <c r="AE20" s="189">
        <f t="shared" si="16"/>
        <v>0</v>
      </c>
      <c r="AF20" s="189">
        <f t="shared" si="16"/>
        <v>0</v>
      </c>
      <c r="AG20" s="189">
        <f t="shared" si="16"/>
        <v>0</v>
      </c>
      <c r="AH20" s="189">
        <f t="shared" si="16"/>
        <v>0</v>
      </c>
      <c r="AI20" s="189">
        <f t="shared" si="16"/>
        <v>0</v>
      </c>
      <c r="AJ20" s="189">
        <f t="shared" si="16"/>
        <v>0</v>
      </c>
      <c r="AK20" s="189">
        <f t="shared" si="16"/>
        <v>0</v>
      </c>
      <c r="AL20" s="189">
        <f t="shared" si="16"/>
        <v>9</v>
      </c>
      <c r="AM20" s="189">
        <f t="shared" si="16"/>
        <v>9</v>
      </c>
      <c r="AN20" s="189">
        <f t="shared" si="16"/>
        <v>0</v>
      </c>
      <c r="AO20" s="189">
        <f t="shared" si="16"/>
        <v>7</v>
      </c>
      <c r="AP20" s="189">
        <f t="shared" si="16"/>
        <v>6</v>
      </c>
      <c r="AQ20" s="189">
        <f t="shared" si="16"/>
        <v>6</v>
      </c>
      <c r="AR20" s="189">
        <f t="shared" si="16"/>
        <v>6</v>
      </c>
      <c r="AS20" s="189">
        <f t="shared" si="16"/>
        <v>0</v>
      </c>
      <c r="AT20" s="189">
        <f t="shared" si="16"/>
        <v>0</v>
      </c>
      <c r="AU20" s="209"/>
      <c r="AV20" s="134"/>
      <c r="AW20" s="209"/>
      <c r="AX20" s="134"/>
      <c r="AY20" s="189">
        <f>SUBTOTAL(9,AY15:AY19)</f>
        <v>911</v>
      </c>
      <c r="AZ20" s="189">
        <f>SUBTOTAL(9,AZ15:AZ19)</f>
        <v>1821</v>
      </c>
      <c r="BA20" s="189">
        <f>SUBTOTAL(9,BA15:BA19)</f>
        <v>1663</v>
      </c>
      <c r="BB20" s="189">
        <f>SUBTOTAL(9,BB15:BB19)</f>
        <v>1070</v>
      </c>
      <c r="BC20" s="189">
        <f>SUBTOTAL(9,BC15:BC19)</f>
        <v>189</v>
      </c>
      <c r="BD20" s="210">
        <f>IF(ISNUMBER(BA20/AZ20),BA20/AZ20," - ")</f>
        <v>0.91323448654585393</v>
      </c>
      <c r="BE20" s="211">
        <f>IF(ISNUMBER(BB20/BA20),BB20/BA20, " - ")</f>
        <v>0.64341551413108844</v>
      </c>
      <c r="BF20" s="211">
        <f>IF(ISNUMBER(BC20/BA20),BC20/BA20, " - ")</f>
        <v>0.11365003006614552</v>
      </c>
      <c r="BG20" s="212">
        <f>IF(ISNUMBER((AY20+AZ20)/BA20),(AY20+AZ20)/BA20," - ")</f>
        <v>1.6428141912206855</v>
      </c>
      <c r="BH20" s="189">
        <f>SUBTOTAL(9,BH15:BH19)</f>
        <v>7</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4304</v>
      </c>
      <c r="J21" s="136">
        <f t="shared" si="19"/>
        <v>3108</v>
      </c>
      <c r="K21" s="136">
        <f t="shared" si="19"/>
        <v>2987</v>
      </c>
      <c r="L21" s="136">
        <f t="shared" si="19"/>
        <v>4425</v>
      </c>
      <c r="M21" s="136">
        <f t="shared" si="19"/>
        <v>544</v>
      </c>
      <c r="N21" s="136">
        <f t="shared" si="19"/>
        <v>2102</v>
      </c>
      <c r="O21" s="136">
        <f t="shared" si="19"/>
        <v>645</v>
      </c>
      <c r="P21" s="136">
        <f t="shared" si="19"/>
        <v>437</v>
      </c>
      <c r="Q21" s="136">
        <f t="shared" si="19"/>
        <v>172</v>
      </c>
      <c r="R21" s="136">
        <f t="shared" si="19"/>
        <v>5352</v>
      </c>
      <c r="S21" s="136">
        <f t="shared" si="19"/>
        <v>3544</v>
      </c>
      <c r="T21" s="136">
        <f t="shared" si="19"/>
        <v>3191</v>
      </c>
      <c r="U21" s="136">
        <f t="shared" si="19"/>
        <v>2917</v>
      </c>
      <c r="V21" s="136">
        <f t="shared" si="19"/>
        <v>3821</v>
      </c>
      <c r="W21" s="136">
        <f t="shared" si="19"/>
        <v>450</v>
      </c>
      <c r="X21" s="136">
        <f t="shared" si="19"/>
        <v>2092</v>
      </c>
      <c r="Y21" s="136">
        <f t="shared" si="19"/>
        <v>127</v>
      </c>
      <c r="Z21" s="136">
        <f t="shared" si="19"/>
        <v>450</v>
      </c>
      <c r="AA21" s="136">
        <f t="shared" si="19"/>
        <v>467</v>
      </c>
      <c r="AB21" s="136">
        <f t="shared" si="19"/>
        <v>110</v>
      </c>
      <c r="AC21" s="136">
        <f t="shared" si="19"/>
        <v>0</v>
      </c>
      <c r="AD21" s="136">
        <f t="shared" si="19"/>
        <v>0</v>
      </c>
      <c r="AE21" s="136">
        <f t="shared" si="19"/>
        <v>0</v>
      </c>
      <c r="AF21" s="136">
        <f t="shared" si="19"/>
        <v>0</v>
      </c>
      <c r="AG21" s="136">
        <f t="shared" si="19"/>
        <v>87</v>
      </c>
      <c r="AH21" s="136">
        <f t="shared" si="19"/>
        <v>413</v>
      </c>
      <c r="AI21" s="136">
        <f t="shared" si="19"/>
        <v>408</v>
      </c>
      <c r="AJ21" s="136">
        <f t="shared" si="19"/>
        <v>72</v>
      </c>
      <c r="AK21" s="136">
        <f t="shared" si="19"/>
        <v>0</v>
      </c>
      <c r="AL21" s="136">
        <f t="shared" si="19"/>
        <v>9</v>
      </c>
      <c r="AM21" s="136">
        <f t="shared" si="19"/>
        <v>9</v>
      </c>
      <c r="AN21" s="215">
        <f t="shared" si="19"/>
        <v>0</v>
      </c>
      <c r="AO21" s="216">
        <v>7</v>
      </c>
      <c r="AP21" s="216">
        <v>6</v>
      </c>
      <c r="AQ21" s="216">
        <v>6</v>
      </c>
      <c r="AR21" s="216">
        <v>6</v>
      </c>
      <c r="AS21" s="158">
        <f t="shared" si="19"/>
        <v>0</v>
      </c>
      <c r="AT21" s="158">
        <f t="shared" si="19"/>
        <v>0</v>
      </c>
      <c r="AU21" s="216"/>
      <c r="AV21" s="217"/>
      <c r="AW21" s="216"/>
      <c r="AX21" s="217"/>
      <c r="AY21" s="135">
        <f>SUBTOTAL(9,AY9:AY20)</f>
        <v>3631</v>
      </c>
      <c r="AZ21" s="136">
        <f>SUBTOTAL(9,AZ9:AZ20)</f>
        <v>3604</v>
      </c>
      <c r="BA21" s="136">
        <f>SUBTOTAL(9,BA9:BA20)</f>
        <v>3325</v>
      </c>
      <c r="BB21" s="136">
        <f>SUBTOTAL(9,BB9:BB20)</f>
        <v>3893</v>
      </c>
      <c r="BC21" s="137">
        <f>SUBTOTAL(9,BC9:BC20)</f>
        <v>1050</v>
      </c>
      <c r="BD21" s="218">
        <f>IF(ISNUMBER(BA21/AZ21),BA21/AZ21," - ")</f>
        <v>0.92258601553829078</v>
      </c>
      <c r="BE21" s="215">
        <f>IF(ISNUMBER(BB21/BA21),BB21/BA21, " - ")</f>
        <v>1.170827067669173</v>
      </c>
      <c r="BF21" s="215">
        <f>IF(ISNUMBER(BC21/BA21),BC21/BA21, " - ")</f>
        <v>0.31578947368421051</v>
      </c>
      <c r="BG21" s="137">
        <f>IF(ISNUMBER((AY21+AZ21)/BA21),(AY21+AZ21)/BA21," - ")</f>
        <v>2.1759398496240601</v>
      </c>
      <c r="BH21" s="216">
        <f>SUBTOTAL(9,BH9:BH20)</f>
        <v>14</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gGcu+bjw/z+fBk2uSQ6NZF3y0KTxFqUfT2RkMGUjK+xviUqd891LrOyGUFqaQHyWA6dhjO6g1S1Lbe9WpkwjFg==" saltValue="VsfkI+6dLznd05KTiZr//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aD13GCtZEFvH1bLTBJ1mYOMuuKo9IgNsbZdJPcPXaVhyf3r1tdnHj330Xx2hruWpqgHT5TO0T1GuGg/KoaGaRw==" saltValue="HItK7tNz5zRbIZbECN3gL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SANT BOI DE LLOBREGAT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48</v>
      </c>
      <c r="G10" s="498">
        <f>IF(ISNUMBER(Datos!I10),Datos!I10," - ")</f>
        <v>48</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16</v>
      </c>
      <c r="AC10" s="502">
        <f>IF(ISNUMBER(Datos!Q10),Datos!Q10," - ")</f>
        <v>1</v>
      </c>
      <c r="AD10" s="504"/>
      <c r="AE10" s="517"/>
      <c r="AF10" s="506">
        <f>IF(ISNUMBER(Datos!L10),Datos!L10,"-")</f>
        <v>51</v>
      </c>
      <c r="AG10" s="504"/>
      <c r="AH10" s="504"/>
      <c r="AI10" s="504"/>
      <c r="AJ10" s="504"/>
      <c r="AK10" s="504"/>
      <c r="AL10" s="505"/>
      <c r="AM10" s="672">
        <f>IF(ISNUMBER(Datos!R10),Datos!R10," - ")</f>
        <v>22</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8</v>
      </c>
      <c r="BD10" s="620">
        <f>IF(ISNUMBER(Datos!N10),Datos!N10," - ")</f>
        <v>5</v>
      </c>
      <c r="BE10" s="620" t="str">
        <f>IF(ISNUMBER(Datos!BW10),Datos!BW10," - ")</f>
        <v xml:space="preserve"> - </v>
      </c>
      <c r="BF10" s="668" t="str">
        <f>IF(ISNUMBER(Datos!BX10),Datos!BX10," - ")</f>
        <v xml:space="preserve"> - </v>
      </c>
      <c r="BG10" s="669">
        <f>IF(ISNUMBER(Datos!K10/Datos!J10),Datos!K10/Datos!J10," - ")</f>
        <v>0.84210526315789469</v>
      </c>
      <c r="BH10" s="670">
        <f>IF(ISNUMBER(((Datos!L10/Datos!K10)*11)/factor_trimestre),((Datos!L10/Datos!K10)*11)/factor_trimestre," - ")</f>
        <v>9.5625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4.7619047619047616E-2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6</v>
      </c>
      <c r="B12" s="654" t="s">
        <v>273</v>
      </c>
      <c r="C12" s="655" t="str">
        <f>Datos!A12</f>
        <v xml:space="preserve">Jdos. 1ª Instª. e Instr.                        </v>
      </c>
      <c r="D12" s="549"/>
      <c r="E12" s="670">
        <f>IF(ISNUMBER(Datos!AQ12),Datos!AQ12," - ")</f>
        <v>6</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450</v>
      </c>
      <c r="O12" s="504"/>
      <c r="P12" s="504"/>
      <c r="Q12" s="502">
        <f>IF(ISNUMBER(Datos!P12),Datos!P12,0)</f>
        <v>392</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150</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110</v>
      </c>
      <c r="AI12" s="504" t="str">
        <f>IF(ISNUMBER(Datos!CD12),Datos!CD12,"-")</f>
        <v>-</v>
      </c>
      <c r="AJ12" s="504" t="str">
        <f>IF(ISNUMBER(Datos!EN12),Datos!EN12," - ")</f>
        <v xml:space="preserve"> - </v>
      </c>
      <c r="AK12" s="504"/>
      <c r="AL12" s="505"/>
      <c r="AM12" s="672">
        <f>IF(ISNUMBER(Datos!R12),Datos!R12," - ")</f>
        <v>4927</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359</v>
      </c>
      <c r="BD12" s="620">
        <f>IF(ISNUMBER(Datos!N12),Datos!N12," - ")</f>
        <v>868</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0.94401244167962672</v>
      </c>
      <c r="BH12" s="670">
        <f>IF(ISNUMBER(((IF(J_V="SI",Datos!L12/Datos!K12,(Datos!L12+Datos!AB12)/(Datos!K12+Datos!AA12)))*11)/factor_trimestre),((IF(J_V="SI",Datos!L12/Datos!K12,(Datos!L12+Datos!AB12)/(Datos!K12+Datos!AA12)))*11)/factor_trimestre," - ")</f>
        <v>5.4958813838550249</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5.1654215581643542E-2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6</v>
      </c>
      <c r="F14" s="1045">
        <f t="shared" si="1"/>
        <v>48</v>
      </c>
      <c r="G14" s="1045">
        <f t="shared" si="1"/>
        <v>48</v>
      </c>
      <c r="H14" s="1046">
        <f t="shared" si="1"/>
        <v>0</v>
      </c>
      <c r="I14" s="1045">
        <f t="shared" si="1"/>
        <v>0</v>
      </c>
      <c r="J14" s="1014">
        <f t="shared" si="1"/>
        <v>0</v>
      </c>
      <c r="K14" s="1014">
        <f t="shared" si="1"/>
        <v>0</v>
      </c>
      <c r="L14" s="1046">
        <f t="shared" si="1"/>
        <v>0</v>
      </c>
      <c r="M14" s="1046">
        <f t="shared" si="1"/>
        <v>0</v>
      </c>
      <c r="N14" s="1046">
        <f t="shared" si="1"/>
        <v>450</v>
      </c>
      <c r="O14" s="1047">
        <f t="shared" si="1"/>
        <v>0</v>
      </c>
      <c r="P14" s="1047">
        <f t="shared" si="1"/>
        <v>0</v>
      </c>
      <c r="Q14" s="1046">
        <f t="shared" si="1"/>
        <v>394</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16</v>
      </c>
      <c r="AC14" s="1046">
        <f t="shared" si="2"/>
        <v>151</v>
      </c>
      <c r="AD14" s="1046">
        <f t="shared" si="2"/>
        <v>0</v>
      </c>
      <c r="AE14" s="1046">
        <f t="shared" si="2"/>
        <v>0</v>
      </c>
      <c r="AF14" s="1046">
        <f t="shared" si="2"/>
        <v>51</v>
      </c>
      <c r="AG14" s="1046">
        <f t="shared" si="2"/>
        <v>0</v>
      </c>
      <c r="AH14" s="1046">
        <f t="shared" si="2"/>
        <v>110</v>
      </c>
      <c r="AI14" s="1046">
        <f t="shared" si="2"/>
        <v>0</v>
      </c>
      <c r="AJ14" s="1046">
        <f t="shared" si="2"/>
        <v>0</v>
      </c>
      <c r="AK14" s="1046">
        <f t="shared" si="2"/>
        <v>0</v>
      </c>
      <c r="AL14" s="1046">
        <f t="shared" si="2"/>
        <v>0</v>
      </c>
      <c r="AM14" s="1046">
        <f t="shared" si="2"/>
        <v>4949</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367</v>
      </c>
      <c r="BD14" s="1046">
        <f t="shared" si="2"/>
        <v>873</v>
      </c>
      <c r="BE14" s="1046">
        <f t="shared" si="2"/>
        <v>0</v>
      </c>
      <c r="BF14" s="1046">
        <f t="shared" si="2"/>
        <v>0</v>
      </c>
      <c r="BG14" s="1046">
        <f>IF(ISNUMBER(Datos!K14/Datos!J14),Datos!K14/Datos!J14," - ")</f>
        <v>0.9145527369826435</v>
      </c>
      <c r="BH14" s="1050">
        <f>IF(ISNUMBER(((Datos!L14/Datos!K14)*11)/factor_trimestre),((Datos!L14/Datos!K14)*11)/factor_trimestre," - ")</f>
        <v>7.1759124087591246</v>
      </c>
      <c r="BI14" s="1046">
        <f>IF(ISNUMBER('Resol  Asuntos'!D14/NºAsuntos!G14),'Resol  Asuntos'!D14/NºAsuntos!G14," - ")</f>
        <v>0.19978225367446925</v>
      </c>
      <c r="BJ14" s="1046" t="str">
        <f>IF(ISNUMBER(Datos!CI14/Datos!CJ14),Datos!CI14/Datos!CJ14," - ")</f>
        <v xml:space="preserve"> - </v>
      </c>
      <c r="BK14" s="1046">
        <f>SUBTOTAL(9,BK8:BK13)</f>
        <v>0</v>
      </c>
      <c r="BL14" s="1046">
        <f>IF(ISNUMBER((I14-AB14+L14)/(F14)),(I14-AB14+L14)/(F14)," - ")</f>
        <v>-0.33333333333333331</v>
      </c>
      <c r="BM14" s="1051">
        <f>SUBTOTAL(9,BM9:BM13)</f>
        <v>9.9273263200691159E-2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6</v>
      </c>
      <c r="B17" s="647" t="s">
        <v>437</v>
      </c>
      <c r="C17" s="657" t="str">
        <f>Datos!A17</f>
        <v xml:space="preserve">Jdos. 1ª Instª. e Instr.                        </v>
      </c>
      <c r="D17" s="658"/>
      <c r="E17" s="1334">
        <f>IF(ISNUMBER(Datos!AQ17),Datos!AQ17," - ")</f>
        <v>6</v>
      </c>
      <c r="F17" s="648">
        <f>IF(ISNUMBER(AF17+AB17-Datos!J17-L17),AF17+AB17-Datos!J17-L17," - ")</f>
        <v>1055</v>
      </c>
      <c r="G17" s="651">
        <f>IF(ISNUMBER(IF(D_I="SI",Datos!I17,Datos!I17+Datos!AC17)),IF(D_I="SI",Datos!I17,Datos!I17+Datos!AC17)," - ")</f>
        <v>1055</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41</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1512</v>
      </c>
      <c r="AC17" s="231">
        <f>IF(ISNUMBER(Datos!Q17),Datos!Q17," - ")</f>
        <v>20</v>
      </c>
      <c r="AD17" s="344"/>
      <c r="AE17" s="516"/>
      <c r="AF17" s="649">
        <f>IF(ISNUMBER(IF(D_I="SI",Datos!L17,Datos!L17+Datos!AF17)),IF(D_I="SI",Datos!L17,Datos!L17+Datos!AF17)," - ")</f>
        <v>1053</v>
      </c>
      <c r="AG17" s="344"/>
      <c r="AH17" s="344"/>
      <c r="AI17" s="344"/>
      <c r="AJ17" s="504"/>
      <c r="AK17" s="344"/>
      <c r="AL17" s="500"/>
      <c r="AM17" s="345">
        <f>IF(ISNUMBER(Datos!R17),Datos!R17," - ")</f>
        <v>399</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171</v>
      </c>
      <c r="BD17" s="234">
        <f>IF(ISNUMBER(Datos!N17),Datos!N17," - ")</f>
        <v>1137</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1.0013245033112583</v>
      </c>
      <c r="BH17" s="670">
        <f>IF(ISNUMBER(((IF(D_I="SI",Datos!L17/Datos!K17,(Datos!L17+Datos!AF17)/(Datos!K17+Datos!AE17)))*11)/factor_trimestre),((IF(D_I="SI",Datos!L17/Datos!K17,(Datos!L17+Datos!AF17)/(Datos!K17+Datos!AE17)))*11)/factor_trimestre," - ")</f>
        <v>2.0892857142857144</v>
      </c>
      <c r="BI17" s="248">
        <f>IF(ISNUMBER('Resol  Asuntos'!D17/NºAsuntos!G17),'Resol  Asuntos'!D17/NºAsuntos!G17," - ")</f>
        <v>0.1130952380952381</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100</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2</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105</v>
      </c>
      <c r="AC18" s="502">
        <f>IF(ISNUMBER(Datos!Q18),Datos!Q18," - ")</f>
        <v>1</v>
      </c>
      <c r="AD18" s="504"/>
      <c r="AE18" s="516"/>
      <c r="AF18" s="506">
        <f>IF(ISNUMBER(Datos!L18),Datos!L18,"-")</f>
        <v>95</v>
      </c>
      <c r="AG18" s="504"/>
      <c r="AH18" s="504"/>
      <c r="AI18" s="504"/>
      <c r="AJ18" s="504"/>
      <c r="AK18" s="504"/>
      <c r="AL18" s="505"/>
      <c r="AM18" s="672">
        <f>IF(ISNUMBER(Datos!R18),Datos!R18," - ")</f>
        <v>4</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6</v>
      </c>
      <c r="BD18" s="620">
        <f>IF(ISNUMBER(Datos!N18),Datos!N18," - ")</f>
        <v>92</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1.05</v>
      </c>
      <c r="BH18" s="670">
        <f>IF(ISNUMBER(((IF(D_I="SI",Datos!L18/Datos!K18,(Datos!L18+Datos!AF18)/(Datos!K18+Datos!AE18)))*11)/factor_trimestre),((IF(D_I="SI",Datos!L18/Datos!K18,(Datos!L18+Datos!AF18)/(Datos!K18+Datos!AE18)))*11)/factor_trimestre," - ")</f>
        <v>2.7142857142857144</v>
      </c>
      <c r="BI18" s="669">
        <f>IF(ISNUMBER('Resol  Asuntos'!D18/NºAsuntos!G18),'Resol  Asuntos'!D18/NºAsuntos!G18," - ")</f>
        <v>5.7142857142857141E-2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1055</v>
      </c>
      <c r="G20" s="1045">
        <f>SUBTOTAL(9,G16:G19)</f>
        <v>1155</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43</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1617</v>
      </c>
      <c r="AC20" s="1046">
        <f t="shared" si="5"/>
        <v>21</v>
      </c>
      <c r="AD20" s="1046">
        <f t="shared" si="5"/>
        <v>0</v>
      </c>
      <c r="AE20" s="1046">
        <f t="shared" si="5"/>
        <v>0</v>
      </c>
      <c r="AF20" s="1046">
        <f t="shared" si="5"/>
        <v>1148</v>
      </c>
      <c r="AG20" s="1046">
        <f t="shared" si="5"/>
        <v>0</v>
      </c>
      <c r="AH20" s="1046">
        <f t="shared" si="5"/>
        <v>0</v>
      </c>
      <c r="AI20" s="1046">
        <f t="shared" si="5"/>
        <v>0</v>
      </c>
      <c r="AJ20" s="1046">
        <f t="shared" si="5"/>
        <v>0</v>
      </c>
      <c r="AK20" s="1046">
        <f t="shared" si="5"/>
        <v>0</v>
      </c>
      <c r="AL20" s="1046">
        <f t="shared" si="5"/>
        <v>0</v>
      </c>
      <c r="AM20" s="1046">
        <f t="shared" si="5"/>
        <v>403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177</v>
      </c>
      <c r="BD20" s="1046">
        <f t="shared" si="5"/>
        <v>1229</v>
      </c>
      <c r="BE20" s="1046">
        <f t="shared" si="5"/>
        <v>0</v>
      </c>
      <c r="BF20" s="1046">
        <f t="shared" si="5"/>
        <v>0</v>
      </c>
      <c r="BG20" s="1046">
        <f>IF(ISNUMBER(Datos!K20/Datos!J20),Datos!K20/Datos!J20," - ")</f>
        <v>1.0043478260869565</v>
      </c>
      <c r="BH20" s="1050">
        <f>IF(ISNUMBER(((Datos!L20/Datos!K20)*11)/factor_trimestre),((Datos!L20/Datos!K20)*11)/factor_trimestre," - ")</f>
        <v>2.1298701298701301</v>
      </c>
      <c r="BI20" s="1046">
        <f>SUBTOTAL(9,BI16:BI19)</f>
        <v>0.17023809523809524</v>
      </c>
      <c r="BJ20" s="1046">
        <f>SUBTOTAL(9,BJ16:BJ19)</f>
        <v>0</v>
      </c>
      <c r="BK20" s="1046">
        <f>SUBTOTAL(9,BK16:BK19)</f>
        <v>0</v>
      </c>
      <c r="BL20" s="1046">
        <f>IF(ISNUMBER((I20-AB20+L20)/(F20)),(I20-AB20+L20)/(F20)," - ")</f>
        <v>-1.5327014218009478</v>
      </c>
      <c r="BM20" s="1052">
        <f>IF(ISNUMBER((Datos!P20-Datos!Q20)/(Datos!R20-Datos!P20+Datos!Q20)),(Datos!P20-Datos!Q20)/(Datos!R20-Datos!P20+Datos!Q20)," - ")</f>
        <v>5.774278215223097E-2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12</v>
      </c>
      <c r="F21" s="967">
        <f t="shared" si="7"/>
        <v>1103</v>
      </c>
      <c r="G21" s="967">
        <f t="shared" si="7"/>
        <v>1203</v>
      </c>
      <c r="H21" s="969">
        <f t="shared" si="7"/>
        <v>0</v>
      </c>
      <c r="I21" s="967">
        <f t="shared" si="7"/>
        <v>0</v>
      </c>
      <c r="J21" s="969">
        <f t="shared" si="7"/>
        <v>0</v>
      </c>
      <c r="K21" s="969">
        <f t="shared" si="7"/>
        <v>0</v>
      </c>
      <c r="L21" s="1028">
        <f t="shared" si="7"/>
        <v>0</v>
      </c>
      <c r="M21" s="1028">
        <f t="shared" si="7"/>
        <v>0</v>
      </c>
      <c r="N21" s="1028">
        <f t="shared" si="7"/>
        <v>450</v>
      </c>
      <c r="O21" s="1028">
        <f t="shared" si="7"/>
        <v>0</v>
      </c>
      <c r="P21" s="1028">
        <f t="shared" si="7"/>
        <v>0</v>
      </c>
      <c r="Q21" s="969">
        <f t="shared" si="7"/>
        <v>437</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1633</v>
      </c>
      <c r="AC21" s="968">
        <f t="shared" si="8"/>
        <v>172</v>
      </c>
      <c r="AD21" s="968">
        <f t="shared" si="8"/>
        <v>0</v>
      </c>
      <c r="AE21" s="968">
        <f t="shared" si="8"/>
        <v>0</v>
      </c>
      <c r="AF21" s="975">
        <f t="shared" si="8"/>
        <v>1199</v>
      </c>
      <c r="AG21" s="975">
        <f t="shared" si="8"/>
        <v>0</v>
      </c>
      <c r="AH21" s="975">
        <f t="shared" si="8"/>
        <v>110</v>
      </c>
      <c r="AI21" s="975">
        <f t="shared" si="8"/>
        <v>0</v>
      </c>
      <c r="AJ21" s="968">
        <f t="shared" si="8"/>
        <v>0</v>
      </c>
      <c r="AK21" s="975">
        <f t="shared" si="8"/>
        <v>0</v>
      </c>
      <c r="AL21" s="975">
        <f t="shared" si="8"/>
        <v>0</v>
      </c>
      <c r="AM21" s="975">
        <f t="shared" si="8"/>
        <v>5352</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544</v>
      </c>
      <c r="BD21" s="967">
        <f t="shared" si="8"/>
        <v>2102</v>
      </c>
      <c r="BE21" s="967">
        <f t="shared" si="8"/>
        <v>0</v>
      </c>
      <c r="BF21" s="977">
        <f t="shared" si="8"/>
        <v>0</v>
      </c>
      <c r="BG21" s="1062">
        <f>IF(ISNUMBER(Datos!K21/Datos!J21),Datos!K21/Datos!J21," - ")</f>
        <v>0.96106821106821105</v>
      </c>
      <c r="BH21" s="1062">
        <f>IF(ISNUMBER(((Datos!L21/Datos!K21)*11)/factor_trimestre),((Datos!L21/Datos!K21)*11)/factor_trimestre," - ")</f>
        <v>4.444258453297623</v>
      </c>
      <c r="BI21" s="960">
        <f>IF(ISNUMBER(Datos!J21/Datos!I21),Datos!J21/Datos!I21," - ")</f>
        <v>0.72211895910780666</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-1.4805077062556664</v>
      </c>
      <c r="BM21" s="1036">
        <f>IF(ISNUMBER((Datos!P21-Datos!Q21+R21)/(Datos!R21-Datos!P21+Datos!Q21-R21)),(Datos!P21-Datos!Q21+R21)/(Datos!R21-Datos!P21+Datos!Q21-R21)," - ")</f>
        <v>5.2093571849813253E-2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481.2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3.027149874657078</v>
      </c>
      <c r="F23" s="600">
        <f>IF(ISNUMBER(STDEV(F8:F20)),STDEV(F8:F20),"-")</f>
        <v>581.39172107395314</v>
      </c>
      <c r="G23" s="601">
        <f>IF(ISNUMBER(STDEV(G8:G20)),STDEV(G8:G20),"-")</f>
        <v>570.94018951200133</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833.5194658794718</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159.34198023956733</v>
      </c>
      <c r="BD23" s="600"/>
      <c r="BE23" s="600">
        <f>IF(ISNUMBER(STDEV(BE8:BE20)),STDEV(BE8:BE20),"-")</f>
        <v>0</v>
      </c>
      <c r="BF23" s="605">
        <f>IF(ISNUMBER(STDEV(BF8:BF20)),STDEV(BF8:BF20),"-")</f>
        <v>0</v>
      </c>
      <c r="BG23" s="915">
        <f>IF(ISNUMBER(STDEV(BG8:BG20)),STDEV(BG8:BG20),"-")</f>
        <v>7.4823044236455666E-2</v>
      </c>
      <c r="BH23" s="919">
        <f>IF(ISNUMBER(STDEV(BH8:BH20)),STDEV(BH8:BH20),"-")</f>
        <v>3.0859633262086392</v>
      </c>
      <c r="BI23" s="254">
        <f>IF(ISNUMBER(STDEV(BI8:BI20)),STDEV(BI8:BI20),"-")</f>
        <v>6.3192827485375969E-2</v>
      </c>
      <c r="BJ23" s="235" t="str">
        <f>IF(ISNUMBER(BL23/BM23),BL23/BM23," - ")</f>
        <v xml:space="preserve"> - </v>
      </c>
      <c r="BK23" s="627"/>
      <c r="BL23" s="608">
        <f>IF(ISNUMBER(STDEV(BL8:BL20)),STDEV(BL8:BL20),"-")</f>
        <v>0.84808130849419738</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6JnrJ2LluhJZnj6/+Li5JI21aN6jWPH5qzambKlapC+QVh5XKxa/TKIhvSb5raOeYz7UAajt7QjINt9JAmpF8g==" saltValue="lis8gLYfKxUEMYBBiv6w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SANT BOI DE LLOBREGAT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48</v>
      </c>
      <c r="G10" s="507">
        <f>IF(ISNUMBER(Datos!I10),Datos!I10," - ")</f>
        <v>48</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16</v>
      </c>
      <c r="Z10" s="704">
        <f>IF(ISNUMBER(Datos!Q10),Datos!Q10," - ")</f>
        <v>1</v>
      </c>
      <c r="AA10" s="506">
        <f>IF(ISNUMBER(Datos!L10),Datos!L10,"-")</f>
        <v>51</v>
      </c>
      <c r="AB10" s="504"/>
      <c r="AC10" s="504"/>
      <c r="AD10" s="517"/>
      <c r="AE10" s="517">
        <f>IF(ISNUMBER(Datos!R10),Datos!R10," - ")</f>
        <v>22</v>
      </c>
      <c r="AF10" s="620" t="str">
        <f>IF(ISNUMBER(Datos!BV10),Datos!BV10," - ")</f>
        <v xml:space="preserve"> - </v>
      </c>
      <c r="AG10" s="507" t="str">
        <f>IF(ISNUMBER(Datos!DV10),Datos!DV10," - ")</f>
        <v xml:space="preserve"> - </v>
      </c>
      <c r="AH10" s="508"/>
      <c r="AI10" s="509"/>
      <c r="AJ10" s="507">
        <f>IF(ISNUMBER(Datos!M10),Datos!M10," - ")</f>
        <v>8</v>
      </c>
      <c r="AK10" s="620">
        <f>IF(ISNUMBER(Datos!N10),Datos!N10," - ")</f>
        <v>5</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9.5625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4.7619047619047616E-2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6</v>
      </c>
      <c r="B12" s="654" t="s">
        <v>273</v>
      </c>
      <c r="C12" s="655" t="str">
        <f>Datos!A12</f>
        <v xml:space="preserve">Jdos. 1ª Instª. e Instr.                        </v>
      </c>
      <c r="D12" s="549"/>
      <c r="E12" s="1337">
        <f>IF(ISNUMBER(Datos!AQ12),Datos!AQ12," - ")</f>
        <v>6</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392</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150</v>
      </c>
      <c r="AA12" s="506" t="str">
        <f>IF(ISNUMBER(IF(J_V="SI",Datos!L12,Datos!L12+Datos!AB12)-IF(Monitorios="SI",Datos!CD12,0)),
                          IF(J_V="SI",Datos!L12,Datos!L12+Datos!AB12)-IF(Monitorios="SI",Datos!CD12,0),
                          " - ")</f>
        <v xml:space="preserve"> - </v>
      </c>
      <c r="AB12" s="504"/>
      <c r="AC12" s="504"/>
      <c r="AD12" s="517"/>
      <c r="AE12" s="517">
        <f>IF(ISNUMBER(Datos!R12),Datos!R12," - ")</f>
        <v>4927</v>
      </c>
      <c r="AF12" s="620" t="str">
        <f>IF(ISNUMBER(Datos!BV12),Datos!BV12," - ")</f>
        <v xml:space="preserve"> - </v>
      </c>
      <c r="AG12" s="507" t="str">
        <f>IF(ISNUMBER(Datos!DV12),Datos!DV12," - ")</f>
        <v xml:space="preserve"> - </v>
      </c>
      <c r="AH12" s="508"/>
      <c r="AI12" s="509"/>
      <c r="AJ12" s="507">
        <f>IF(ISNUMBER(Datos!M12),Datos!M12," - ")</f>
        <v>359</v>
      </c>
      <c r="AK12" s="620">
        <f>IF(ISNUMBER(Datos!N12),Datos!N12," - ")</f>
        <v>868</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5.4958813838550249</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5.1654215581643542E-2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6</v>
      </c>
      <c r="F14" s="1045">
        <f>SUBTOTAL(9,F8:F13)</f>
        <v>48</v>
      </c>
      <c r="G14" s="1045">
        <f>SUBTOTAL(9,G8:G13)</f>
        <v>48</v>
      </c>
      <c r="H14" s="1055"/>
      <c r="I14" s="1045">
        <f t="shared" ref="I14:N14" si="1">SUBTOTAL(9,I8:I13)</f>
        <v>0</v>
      </c>
      <c r="J14" s="1014">
        <f t="shared" si="1"/>
        <v>0</v>
      </c>
      <c r="K14" s="1055">
        <f t="shared" si="1"/>
        <v>0</v>
      </c>
      <c r="L14" s="1055">
        <f t="shared" si="1"/>
        <v>0</v>
      </c>
      <c r="M14" s="1055">
        <f t="shared" si="1"/>
        <v>0</v>
      </c>
      <c r="N14" s="1055">
        <f t="shared" si="1"/>
        <v>394</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16</v>
      </c>
      <c r="Z14" s="1054">
        <f t="shared" si="3"/>
        <v>151</v>
      </c>
      <c r="AA14" s="1047">
        <f t="shared" si="3"/>
        <v>51</v>
      </c>
      <c r="AB14" s="1047">
        <f t="shared" si="3"/>
        <v>0</v>
      </c>
      <c r="AC14" s="1047">
        <f t="shared" si="3"/>
        <v>0</v>
      </c>
      <c r="AD14" s="1047">
        <f t="shared" si="3"/>
        <v>0</v>
      </c>
      <c r="AE14" s="1047">
        <f t="shared" si="3"/>
        <v>4949</v>
      </c>
      <c r="AF14" s="1055">
        <f t="shared" si="3"/>
        <v>0</v>
      </c>
      <c r="AG14" s="1055">
        <f t="shared" si="3"/>
        <v>0</v>
      </c>
      <c r="AH14" s="1055">
        <f t="shared" si="3"/>
        <v>0</v>
      </c>
      <c r="AI14" s="1055">
        <f t="shared" si="3"/>
        <v>0</v>
      </c>
      <c r="AJ14" s="1055">
        <f t="shared" si="3"/>
        <v>367</v>
      </c>
      <c r="AK14" s="1055">
        <f t="shared" si="3"/>
        <v>873</v>
      </c>
      <c r="AL14" s="1055">
        <f t="shared" si="3"/>
        <v>0</v>
      </c>
      <c r="AM14" s="1055">
        <f t="shared" si="3"/>
        <v>0</v>
      </c>
      <c r="AN14" s="1055">
        <f t="shared" si="3"/>
        <v>0</v>
      </c>
      <c r="AO14" s="1051">
        <f>IF(ISNUMBER(((NºAsuntos!I14/NºAsuntos!G14)*11)/factor_trimestre),((NºAsuntos!I14/NºAsuntos!G14)*11)/factor_trimestre," - ")</f>
        <v>5.5313010342950468</v>
      </c>
      <c r="AP14" s="1057" t="str">
        <f>IF(ISNUMBER(Datos!CI14/Datos!CJ14),Datos!CI14/Datos!CJ14," - ")</f>
        <v xml:space="preserve"> - </v>
      </c>
      <c r="AQ14" s="1075">
        <f t="shared" ref="AQ14:AV14" si="4">SUBTOTAL(9,AQ9:AQ13)</f>
        <v>0</v>
      </c>
      <c r="AR14" s="1075">
        <f t="shared" si="4"/>
        <v>9.9273263200691159E-2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6</v>
      </c>
      <c r="B17" s="654" t="s">
        <v>437</v>
      </c>
      <c r="C17" s="671" t="str">
        <f>Datos!A17</f>
        <v xml:space="preserve">Jdos. 1ª Instª. e Instr.                        </v>
      </c>
      <c r="D17" s="544"/>
      <c r="E17" s="1337">
        <f>IF(ISNUMBER(Datos!AQ17),Datos!AQ17," - ")</f>
        <v>6</v>
      </c>
      <c r="F17" s="498">
        <f>IF(ISNUMBER(AA17+Y17-Datos!J17-K16),AA17+Y17-Datos!J17-K16," - ")</f>
        <v>1055</v>
      </c>
      <c r="G17" s="507">
        <f>IF(ISNUMBER(IF(D_I="SI",Datos!I17,Datos!I17+Datos!AC17)),IF(D_I="SI",Datos!I17,Datos!I17+Datos!AC17)," - ")</f>
        <v>1055</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41</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1512</v>
      </c>
      <c r="Z17" s="704">
        <f>IF(ISNUMBER(Datos!Q17),Datos!Q17," - ")</f>
        <v>20</v>
      </c>
      <c r="AA17" s="506">
        <f>IF(ISNUMBER(IF(D_I="SI",Datos!L17,Datos!L17+Datos!AF17)),IF(D_I="SI",Datos!L17,Datos!L17+Datos!AF17)," - ")</f>
        <v>1053</v>
      </c>
      <c r="AB17" s="504"/>
      <c r="AC17" s="504"/>
      <c r="AD17" s="517"/>
      <c r="AE17" s="517">
        <f>IF(ISNUMBER(Datos!R17),Datos!R17," - ")</f>
        <v>399</v>
      </c>
      <c r="AF17" s="620" t="str">
        <f>IF(ISNUMBER(Datos!BV17),Datos!BV17," - ")</f>
        <v xml:space="preserve"> - </v>
      </c>
      <c r="AG17" s="507"/>
      <c r="AH17" s="508"/>
      <c r="AI17" s="509"/>
      <c r="AJ17" s="507">
        <f>IF(ISNUMBER(Datos!M17),Datos!M17," - ")</f>
        <v>171</v>
      </c>
      <c r="AK17" s="620">
        <f>IF(ISNUMBER(Datos!N17),Datos!N17," - ")</f>
        <v>1137</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2.0892857142857144</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100</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2</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105</v>
      </c>
      <c r="Z18" s="704">
        <f>IF(ISNUMBER(Datos!Q18),Datos!Q18," - ")</f>
        <v>1</v>
      </c>
      <c r="AA18" s="506">
        <f>IF(ISNUMBER(Datos!L18),Datos!L18,"-")</f>
        <v>95</v>
      </c>
      <c r="AB18" s="504"/>
      <c r="AC18" s="504"/>
      <c r="AD18" s="517"/>
      <c r="AE18" s="517">
        <f>IF(ISNUMBER(Datos!R18),Datos!R18," - ")</f>
        <v>4</v>
      </c>
      <c r="AF18" s="620" t="str">
        <f>IF(ISNUMBER(Datos!BV18),Datos!BV18," - ")</f>
        <v xml:space="preserve"> - </v>
      </c>
      <c r="AG18" s="507" t="str">
        <f>IF(ISNUMBER(Datos!DV18),Datos!DV18," - ")</f>
        <v xml:space="preserve"> - </v>
      </c>
      <c r="AH18" s="508"/>
      <c r="AI18" s="509"/>
      <c r="AJ18" s="507">
        <f>IF(ISNUMBER(Datos!M18),Datos!M18," - ")</f>
        <v>6</v>
      </c>
      <c r="AK18" s="620">
        <f>IF(ISNUMBER(Datos!N18),Datos!N18," - ")</f>
        <v>92</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2.7142857142857144</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1055</v>
      </c>
      <c r="G20" s="1045">
        <f>SUBTOTAL(9,G16:G19)</f>
        <v>1155</v>
      </c>
      <c r="H20" s="1079">
        <f>SUBTOTAL(9,H16:H19)</f>
        <v>0</v>
      </c>
      <c r="I20" s="1058">
        <f>SUBTOTAL(9,I16:I19)</f>
        <v>0</v>
      </c>
      <c r="J20" s="1014">
        <f>SUBTOTAL(9,J15:J19)</f>
        <v>0</v>
      </c>
      <c r="K20" s="1079">
        <f t="shared" ref="K20:S20" si="5">SUBTOTAL(9,K16:K19)</f>
        <v>0</v>
      </c>
      <c r="L20" s="1079">
        <f t="shared" si="5"/>
        <v>0</v>
      </c>
      <c r="M20" s="1079">
        <f t="shared" si="5"/>
        <v>0</v>
      </c>
      <c r="N20" s="1079">
        <f t="shared" si="5"/>
        <v>43</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1617</v>
      </c>
      <c r="Z20" s="1079">
        <f t="shared" si="6"/>
        <v>21</v>
      </c>
      <c r="AA20" s="1079">
        <f t="shared" si="6"/>
        <v>1148</v>
      </c>
      <c r="AB20" s="1079">
        <f t="shared" si="6"/>
        <v>0</v>
      </c>
      <c r="AC20" s="1079">
        <f t="shared" si="6"/>
        <v>0</v>
      </c>
      <c r="AD20" s="1079">
        <f t="shared" si="6"/>
        <v>0</v>
      </c>
      <c r="AE20" s="1079">
        <f t="shared" si="6"/>
        <v>403</v>
      </c>
      <c r="AF20" s="1079">
        <f t="shared" si="6"/>
        <v>0</v>
      </c>
      <c r="AG20" s="1079">
        <f t="shared" si="6"/>
        <v>0</v>
      </c>
      <c r="AH20" s="1079">
        <f t="shared" si="6"/>
        <v>0</v>
      </c>
      <c r="AI20" s="1079">
        <f t="shared" si="6"/>
        <v>0</v>
      </c>
      <c r="AJ20" s="1079">
        <f t="shared" si="6"/>
        <v>177</v>
      </c>
      <c r="AK20" s="1079">
        <f t="shared" si="6"/>
        <v>1229</v>
      </c>
      <c r="AL20" s="1079">
        <f t="shared" si="6"/>
        <v>0</v>
      </c>
      <c r="AM20" s="1079">
        <f t="shared" si="6"/>
        <v>0</v>
      </c>
      <c r="AN20" s="1079">
        <f t="shared" si="6"/>
        <v>0</v>
      </c>
      <c r="AO20" s="1081">
        <f>IF(ISNUMBER(((NºAsuntos!I20/NºAsuntos!G20)*11)/factor_trimestre),((NºAsuntos!I20/NºAsuntos!G20)*11)/factor_trimestre," - ")</f>
        <v>2.1298701298701301</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12</v>
      </c>
      <c r="F21" s="967">
        <f t="shared" si="8"/>
        <v>1103</v>
      </c>
      <c r="G21" s="967">
        <f t="shared" si="8"/>
        <v>1203</v>
      </c>
      <c r="H21" s="968">
        <f t="shared" si="8"/>
        <v>0</v>
      </c>
      <c r="I21" s="967">
        <f t="shared" si="8"/>
        <v>0</v>
      </c>
      <c r="J21" s="969">
        <f t="shared" si="8"/>
        <v>0</v>
      </c>
      <c r="K21" s="967">
        <f t="shared" si="8"/>
        <v>0</v>
      </c>
      <c r="L21" s="970">
        <f t="shared" si="8"/>
        <v>0</v>
      </c>
      <c r="M21" s="967">
        <f t="shared" si="8"/>
        <v>0</v>
      </c>
      <c r="N21" s="968">
        <f t="shared" si="8"/>
        <v>437</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1633</v>
      </c>
      <c r="Z21" s="974">
        <f t="shared" si="9"/>
        <v>172</v>
      </c>
      <c r="AA21" s="975">
        <f t="shared" si="9"/>
        <v>1199</v>
      </c>
      <c r="AB21" s="975">
        <f t="shared" si="9"/>
        <v>0</v>
      </c>
      <c r="AC21" s="975">
        <f t="shared" si="9"/>
        <v>0</v>
      </c>
      <c r="AD21" s="976">
        <f t="shared" si="9"/>
        <v>0</v>
      </c>
      <c r="AE21" s="976">
        <f t="shared" si="9"/>
        <v>5352</v>
      </c>
      <c r="AF21" s="977">
        <f t="shared" si="9"/>
        <v>0</v>
      </c>
      <c r="AG21" s="978">
        <f t="shared" si="9"/>
        <v>0</v>
      </c>
      <c r="AH21" s="979">
        <f t="shared" si="9"/>
        <v>0</v>
      </c>
      <c r="AI21" s="977">
        <f t="shared" si="9"/>
        <v>0</v>
      </c>
      <c r="AJ21" s="967">
        <f t="shared" si="9"/>
        <v>544</v>
      </c>
      <c r="AK21" s="967">
        <f t="shared" si="9"/>
        <v>2102</v>
      </c>
      <c r="AL21" s="967">
        <f t="shared" si="9"/>
        <v>0</v>
      </c>
      <c r="AM21" s="980">
        <f t="shared" si="9"/>
        <v>0</v>
      </c>
      <c r="AN21" s="970">
        <f>IF(ISNUMBER(Datos!K21/Datos!J21),Datos!K21/Datos!J21," - ")</f>
        <v>0.96106821106821105</v>
      </c>
      <c r="AO21" s="970">
        <f>IF(ISNUMBER(FIND("06",Criterios!A8,1)),(IF(ISNUMBER(((Datos!R21/Datos!Q21)*11)/factor_trimestre),((Datos!R21/Datos!Q21)*11)/factor_trimestre," - ")),(IF(ISNUMBER(((Datos!L21/Datos!K21)*11)/factor_trimestre),((Datos!L21/Datos!K21)*11)/factor_trimestre," - ")))</f>
        <v>4.444258453297623</v>
      </c>
      <c r="AP21" s="981" t="str">
        <f>IF(ISNUMBER(Datos!CI21/Datos!CJ21),Datos!CI21/Datos!CJ21," - ")</f>
        <v xml:space="preserve"> - </v>
      </c>
      <c r="AQ21" s="981">
        <f>IF(OR(ISNUMBER(FIND("01",Criterios!A8,1)),ISNUMBER(FIND("02",Criterios!A8,1)),ISNUMBER(FIND("03",Criterios!A8,1)),ISNUMBER(FIND("04",Criterios!A8,1))),(J21-Y21+K21)/(F21-K21),(I21-Y21+K21)/(F21-K21))</f>
        <v>-1.4805077062556664</v>
      </c>
      <c r="AR21" s="981">
        <f>IF(ISNUMBER((Datos!P21-Datos!Q21+O21)/(Datos!R21-Datos!P21+Datos!Q21-O21)),(Datos!P21-Datos!Q21+O21)/(Datos!R21-Datos!P21+Datos!Q21-O21)," - ")</f>
        <v>5.2093571849813253E-2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481.2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581.39172107395314</v>
      </c>
      <c r="G23" s="601">
        <f>IF(ISNUMBER(STDEV(G8:G20)),STDEV(G8:G20),"-")</f>
        <v>570.94018951200133</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159.34198023956733</v>
      </c>
      <c r="AK23" s="257"/>
      <c r="AL23" s="257">
        <f>IF(ISNUMBER(STDEV(AL8:AL20)),STDEV(AL8:AL20),"-")</f>
        <v>0</v>
      </c>
      <c r="AM23" s="259">
        <f>IF(ISNUMBER(STDEV(AM8:AM20)),STDEV(AM8:AM20),"-")</f>
        <v>0</v>
      </c>
      <c r="AN23" s="587">
        <f>IF(ISNUMBER(STDEV(AN8:AN20)),STDEV(AN8:AN20),"-")</f>
        <v>0</v>
      </c>
      <c r="AO23" s="588">
        <f>IF(ISNUMBER(STDEV(AO8:AO20)),STDEV(AO8:AO20),"-")</f>
        <v>2.907111710973592</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Gg3GuwA4KNgVB4sNUGaYuMXwapJeOoxYoLYg7RpsbWEsjsYgNsZ3iA2QbfVvlJqkvwHdTLkZe323OV2bifiEiQ==" saltValue="uYD9ZkWN0l0ZBm0/rLSb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IU2Lt/gOoAx8KYBlkHcwCGEd6tH/fQ2DJNAoK5M94XAw/t7VwsKJ3CavelsCb9tM7b9S+h4baoWklzm2BGKXBA==" saltValue="RHy4vLQqdJsaNaAIZt2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ENL/BfexMxUgk5WDsqdXDfRGnBsiI8U3oAsNznLZyQ/uJWy41QOba3W+nz3TgU13fn1nNKcCMNKnw3xHfHsutQ==" saltValue="O3HB/KNZg6qHEhFYBwbHK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SANT BOI DE LLOBREGAT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0.19978225367446925</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0.14126738633394825</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6gYav9cVA/9epvtC7YpOa2N7MAcspnETDkP3lZgSx7Ae4y/D7hjS7wbtFwMYj1GPZ6jmnOIZMkCw7x2tLt6xpQ==" saltValue="Uw9G0xWItu1tj8IzYRfN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aBqCuwyr6jdTW1Me11JkIrzYOmcbWetrzpS8VGnpI25/mgP7dAL9wgq1eGKnPwXr744dUlWJk9iaVDIcRH9jnw==" saltValue="HJ2Avjzwq4cm+Ro0X8qM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SANT BOI DE LLOBREGAT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48</v>
      </c>
      <c r="G10" s="803">
        <f>IF(ISNUMBER(Datos!I10),Datos!I10," - ")</f>
        <v>48</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16</v>
      </c>
      <c r="AC10" s="802" t="str">
        <f>IF(ISNUMBER(IF(D_I="SI",DatosP!K18,DatosP!K18+DatosP!AE18)),IF(D_I="SI",DatosP!K18,DatosP!K18+DatosP!AE18)," - ")</f>
        <v xml:space="preserve"> - </v>
      </c>
      <c r="AD10" s="804"/>
      <c r="AE10" s="804"/>
      <c r="AF10" s="807">
        <f>IF(ISNUMBER(Datos!L10),Datos!L10,"-")</f>
        <v>51</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8</v>
      </c>
      <c r="AM10" s="811">
        <f>IF(ISNUMBER(Datos!N10+DatosP!N18),Datos!N10+DatosP!N18," - ")</f>
        <v>5</v>
      </c>
      <c r="AN10" s="811">
        <f>IF(ISNUMBER(Datos!BW10+DatosP!BW18),Datos!BW10+DatosP!BW18," - ")</f>
        <v>0</v>
      </c>
      <c r="AO10" s="812">
        <f>IF(ISNUMBER(Datos!BX10+DatosP!BX18),Datos!BX10+DatosP!BX18," - ")</f>
        <v>0</v>
      </c>
      <c r="AP10" s="814">
        <f>IF(ISNUMBER(((Datos!L10/Datos!K10)*11)/factor_trimestre),((Datos!L10/Datos!K10)*11)/factor_trimestre," - ")</f>
        <v>9.5625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6</v>
      </c>
      <c r="B12" s="654" t="s">
        <v>273</v>
      </c>
      <c r="C12" s="655" t="str">
        <f>Datos!A12</f>
        <v xml:space="preserve">Jdos. 1ª Instª. e Instr.                        </v>
      </c>
      <c r="D12" s="549"/>
      <c r="E12" s="801">
        <f>IF(ISNUMBER(Datos!AQ12),Datos!AQ12," - ")</f>
        <v>6</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392</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150</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4927</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359</v>
      </c>
      <c r="AM12" s="811">
        <f>IF(ISNUMBER(Datos!N12+DatosP!N17),Datos!N12+DatosP!N17," - ")</f>
        <v>868</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5.4958813838550249</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5.1654215581643542E-2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6</v>
      </c>
      <c r="F14" s="1085">
        <f t="shared" si="0"/>
        <v>48</v>
      </c>
      <c r="G14" s="1085">
        <f t="shared" si="0"/>
        <v>48</v>
      </c>
      <c r="H14" s="1085">
        <f t="shared" si="0"/>
        <v>0</v>
      </c>
      <c r="I14" s="1087">
        <f t="shared" si="0"/>
        <v>0</v>
      </c>
      <c r="J14" s="1086">
        <f t="shared" si="0"/>
        <v>0</v>
      </c>
      <c r="K14" s="1086">
        <f t="shared" si="0"/>
        <v>0</v>
      </c>
      <c r="L14" s="1088">
        <f t="shared" si="0"/>
        <v>0</v>
      </c>
      <c r="M14" s="1088">
        <f t="shared" si="0"/>
        <v>0</v>
      </c>
      <c r="N14" s="1086">
        <f t="shared" si="0"/>
        <v>394</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16</v>
      </c>
      <c r="AC14" s="1086">
        <f t="shared" si="1"/>
        <v>0</v>
      </c>
      <c r="AD14" s="1086">
        <f t="shared" si="1"/>
        <v>150</v>
      </c>
      <c r="AE14" s="1086">
        <f t="shared" si="1"/>
        <v>0</v>
      </c>
      <c r="AF14" s="1086">
        <f t="shared" si="1"/>
        <v>51</v>
      </c>
      <c r="AG14" s="1086">
        <f t="shared" si="1"/>
        <v>0</v>
      </c>
      <c r="AH14" s="1086">
        <f t="shared" si="1"/>
        <v>4927</v>
      </c>
      <c r="AI14" s="1086">
        <f t="shared" si="1"/>
        <v>0</v>
      </c>
      <c r="AJ14" s="1086">
        <f t="shared" si="1"/>
        <v>0</v>
      </c>
      <c r="AK14" s="1086">
        <f t="shared" si="1"/>
        <v>0</v>
      </c>
      <c r="AL14" s="1086">
        <f t="shared" si="1"/>
        <v>367</v>
      </c>
      <c r="AM14" s="1086">
        <f t="shared" si="1"/>
        <v>873</v>
      </c>
      <c r="AN14" s="1086">
        <f t="shared" si="1"/>
        <v>0</v>
      </c>
      <c r="AO14" s="1086">
        <f t="shared" si="1"/>
        <v>0</v>
      </c>
      <c r="AP14" s="1091">
        <f>IF(ISNUMBER(((Datos!L14/Datos!K14)*11)/factor_trimestre),((Datos!L14/Datos!K14)*11)/factor_trimestre," - ")</f>
        <v>7.1759124087591246</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-0.33333333333333331</v>
      </c>
      <c r="AU14" s="1086" t="str">
        <f>IF(ISNUMBER((DatosP!#REF!-DatosP!#REF!+DatosP!#REF!)/(DatosP!#REF!+DatosP!#REF!-DatosP!#REF!-DatosP!#REF!)),(DatosP!#REF!-DatosP!#REF!+DatosP!#REF!)/(DatosP!#REF!+DatosP!#REF!-DatosP!#REF!-DatosP!#REF!)," - ")</f>
        <v xml:space="preserve"> - </v>
      </c>
      <c r="AV14" s="1092">
        <f>SUBTOTAL(9,AV9:AV13)</f>
        <v>5.1654215581643542E-2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6</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2.1298701298701301</v>
      </c>
      <c r="AQ20" s="1091">
        <f>IF(ISNUMBER(((Datos!M20/Datos!L20)*11)/factor_trimestre),((Datos!M20/Datos!L20)*11)/factor_trimestre," - ")</f>
        <v>0.46254355400696867</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5.774278215223097E-2</v>
      </c>
      <c r="AW20" s="1093">
        <f>IF(ISNUMBER((Datos!Q20-Datos!R20)/(Datos!S20-Datos!Q20+Datos!R20)),(Datos!Q20-Datos!R20)/(Datos!S20-Datos!Q20+Datos!R20)," - ")</f>
        <v>-0.29543696829079658</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6</v>
      </c>
      <c r="F21" s="1098">
        <f t="shared" si="4"/>
        <v>48</v>
      </c>
      <c r="G21" s="1098">
        <f t="shared" si="4"/>
        <v>48</v>
      </c>
      <c r="H21" s="1098">
        <f t="shared" si="4"/>
        <v>0</v>
      </c>
      <c r="I21" s="1099">
        <f t="shared" si="4"/>
        <v>0</v>
      </c>
      <c r="J21" s="1100">
        <f t="shared" si="4"/>
        <v>0</v>
      </c>
      <c r="K21" s="1100">
        <f t="shared" si="4"/>
        <v>0</v>
      </c>
      <c r="L21" s="1100">
        <f t="shared" si="4"/>
        <v>0</v>
      </c>
      <c r="M21" s="1100">
        <f t="shared" si="4"/>
        <v>0</v>
      </c>
      <c r="N21" s="1099">
        <f t="shared" si="4"/>
        <v>394</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16</v>
      </c>
      <c r="AC21" s="1104">
        <f t="shared" si="5"/>
        <v>0</v>
      </c>
      <c r="AD21" s="1104">
        <f t="shared" si="5"/>
        <v>150</v>
      </c>
      <c r="AE21" s="1104">
        <f t="shared" si="5"/>
        <v>0</v>
      </c>
      <c r="AF21" s="1105">
        <f t="shared" si="5"/>
        <v>51</v>
      </c>
      <c r="AG21" s="1105">
        <f t="shared" si="5"/>
        <v>0</v>
      </c>
      <c r="AH21" s="1105">
        <f t="shared" si="5"/>
        <v>4927</v>
      </c>
      <c r="AI21" s="1105">
        <f t="shared" si="5"/>
        <v>0</v>
      </c>
      <c r="AJ21" s="1106">
        <f t="shared" si="5"/>
        <v>0</v>
      </c>
      <c r="AK21" s="1106">
        <f t="shared" si="5"/>
        <v>0</v>
      </c>
      <c r="AL21" s="1098">
        <f t="shared" si="5"/>
        <v>367</v>
      </c>
      <c r="AM21" s="1098">
        <f t="shared" si="5"/>
        <v>873</v>
      </c>
      <c r="AN21" s="1098">
        <f t="shared" si="5"/>
        <v>0</v>
      </c>
      <c r="AO21" s="1098">
        <f t="shared" si="5"/>
        <v>0</v>
      </c>
      <c r="AP21" s="1098">
        <f>IF(ISNUMBER(((Datos!L21/Datos!K21)*11)/factor_trimestre),((Datos!L21/Datos!K21)*11)/factor_trimestre," - ")</f>
        <v>4.444258453297623</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-0.33333333333333331</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5.2093571849813253E-2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32</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2.9277002188455996</v>
      </c>
      <c r="F23" s="870">
        <f>IF(ISNUMBER(STDEV(F8:F20)),STDEV(F8:F20),"-")</f>
        <v>27.712812921102035</v>
      </c>
      <c r="G23" s="871">
        <f>IF(ISNUMBER(STDEV(G8:G20)),STDEV(G8:G20),"-")</f>
        <v>27.712812921102035</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9.2376043070340135</v>
      </c>
      <c r="AC23" s="872">
        <f>IF(ISNUMBER(STDEV(AC8:AC20)),STDEV(AC8:AC20),"-")</f>
        <v>0</v>
      </c>
      <c r="AD23" s="875"/>
      <c r="AE23" s="875"/>
      <c r="AF23" s="875"/>
      <c r="AG23" s="875"/>
      <c r="AH23" s="875"/>
      <c r="AI23" s="875"/>
      <c r="AJ23" s="876">
        <f>IF(ISNUMBER(STDEV(AJ8:AJ20)),STDEV(AJ8:AJ20),"-")</f>
        <v>0</v>
      </c>
      <c r="AK23" s="878"/>
      <c r="AL23" s="870">
        <f>IF(ISNUMBER(STDEV(AL8:AL20)),STDEV(AL8:AL20),"-")</f>
        <v>207.32020322840381</v>
      </c>
      <c r="AM23" s="870"/>
      <c r="AN23" s="870">
        <f>IF(ISNUMBER(STDEV(AN8:AN20)),STDEV(AN8:AN20),"-")</f>
        <v>0</v>
      </c>
      <c r="AO23" s="876">
        <f>IF(ISNUMBER(STDEV(AO8:AO20)),STDEV(AO8:AO20),"-")</f>
        <v>0</v>
      </c>
      <c r="AP23" s="923">
        <f>IF(ISNUMBER(STDEV(AP8:AP20)),STDEV(AP8:AP20),"-")</f>
        <v>3.1237297788209988</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6C1uAkG5SxjXZkJdMyv/heHzzxBJnyugyR0P4GmGozFSbu0acrVduVKUMUfQeuA5roSTugFGHZyNVan4IKYgWQ==" saltValue="QL4fVjLVN6DJsiKLnMzt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